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Google Drive\Tclara\Carbon Emissions\Carbon Budgeting\"/>
    </mc:Choice>
  </mc:AlternateContent>
  <xr:revisionPtr revIDLastSave="0" documentId="13_ncr:1_{D213C980-8F14-4D38-8F10-F2489A8B77FD}" xr6:coauthVersionLast="47" xr6:coauthVersionMax="47" xr10:uidLastSave="{00000000-0000-0000-0000-000000000000}"/>
  <bookViews>
    <workbookView xWindow="-108" yWindow="-108" windowWidth="23256" windowHeight="12576" xr2:uid="{5ECD4A88-9B6D-455E-8213-364C1EEB9EBB}"/>
  </bookViews>
  <sheets>
    <sheet name="Carbon Budgeting Model in USD" sheetId="4" r:id="rId1"/>
    <sheet name="Carbon Budgeting Model in GBP" sheetId="5" r:id="rId2"/>
    <sheet name="Carbon Budgeting Model in EUR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6" l="1"/>
  <c r="G28" i="6"/>
  <c r="H27" i="6"/>
  <c r="K25" i="6" s="1"/>
  <c r="H26" i="6"/>
  <c r="M25" i="6"/>
  <c r="M20" i="6"/>
  <c r="H18" i="6"/>
  <c r="F21" i="6" s="1"/>
  <c r="C18" i="6"/>
  <c r="M17" i="6"/>
  <c r="C15" i="6"/>
  <c r="C14" i="6"/>
  <c r="K17" i="6" s="1"/>
  <c r="M13" i="6"/>
  <c r="H11" i="6"/>
  <c r="F13" i="6" s="1"/>
  <c r="G13" i="6" s="1"/>
  <c r="C11" i="6"/>
  <c r="G19" i="6" s="1"/>
  <c r="M10" i="6"/>
  <c r="K10" i="6"/>
  <c r="K13" i="6" s="1"/>
  <c r="N13" i="6" s="1"/>
  <c r="M29" i="5"/>
  <c r="H27" i="5"/>
  <c r="K25" i="5" s="1"/>
  <c r="H26" i="5"/>
  <c r="K26" i="5" s="1"/>
  <c r="M25" i="5"/>
  <c r="F21" i="5"/>
  <c r="K21" i="5" s="1"/>
  <c r="M20" i="5"/>
  <c r="K20" i="5"/>
  <c r="N20" i="5" s="1"/>
  <c r="H18" i="5"/>
  <c r="F20" i="5" s="1"/>
  <c r="K18" i="5" s="1"/>
  <c r="M18" i="5" s="1"/>
  <c r="C18" i="5"/>
  <c r="M17" i="5"/>
  <c r="K17" i="5"/>
  <c r="N17" i="5" s="1"/>
  <c r="C15" i="5"/>
  <c r="N11" i="5" s="1"/>
  <c r="C14" i="5"/>
  <c r="M13" i="5"/>
  <c r="K13" i="5"/>
  <c r="N13" i="5" s="1"/>
  <c r="F13" i="5"/>
  <c r="G13" i="5" s="1"/>
  <c r="K11" i="5"/>
  <c r="M11" i="5" s="1"/>
  <c r="H11" i="5"/>
  <c r="F14" i="5" s="1"/>
  <c r="C11" i="5"/>
  <c r="G19" i="5" s="1"/>
  <c r="N10" i="5"/>
  <c r="M10" i="5"/>
  <c r="K10" i="5"/>
  <c r="K12" i="5" s="1"/>
  <c r="K20" i="6" l="1"/>
  <c r="N20" i="6" s="1"/>
  <c r="N17" i="6"/>
  <c r="N25" i="6"/>
  <c r="K29" i="6"/>
  <c r="N29" i="6" s="1"/>
  <c r="M14" i="6"/>
  <c r="K21" i="6"/>
  <c r="M21" i="6"/>
  <c r="K26" i="6"/>
  <c r="F14" i="6"/>
  <c r="N21" i="6"/>
  <c r="F29" i="6"/>
  <c r="F31" i="6"/>
  <c r="N10" i="6"/>
  <c r="F20" i="6"/>
  <c r="K18" i="6" s="1"/>
  <c r="M18" i="6" s="1"/>
  <c r="K11" i="6"/>
  <c r="K12" i="6" s="1"/>
  <c r="F30" i="6"/>
  <c r="K27" i="6" s="1"/>
  <c r="N12" i="5"/>
  <c r="M12" i="5"/>
  <c r="N26" i="5"/>
  <c r="M26" i="5"/>
  <c r="N14" i="5"/>
  <c r="M14" i="5"/>
  <c r="K14" i="5"/>
  <c r="N25" i="5"/>
  <c r="K29" i="5"/>
  <c r="N29" i="5" s="1"/>
  <c r="N21" i="5"/>
  <c r="F29" i="5"/>
  <c r="F31" i="5"/>
  <c r="K30" i="5" s="1"/>
  <c r="N18" i="5"/>
  <c r="G28" i="5"/>
  <c r="F30" i="5"/>
  <c r="K27" i="5" s="1"/>
  <c r="K19" i="5"/>
  <c r="M21" i="5"/>
  <c r="N12" i="6" l="1"/>
  <c r="M12" i="6"/>
  <c r="N18" i="6"/>
  <c r="K30" i="6"/>
  <c r="M30" i="6"/>
  <c r="N30" i="6"/>
  <c r="N27" i="6"/>
  <c r="M27" i="6"/>
  <c r="K28" i="6"/>
  <c r="N14" i="6"/>
  <c r="K14" i="6"/>
  <c r="M11" i="6"/>
  <c r="N11" i="6"/>
  <c r="N26" i="6"/>
  <c r="M26" i="6"/>
  <c r="K19" i="6"/>
  <c r="M30" i="5"/>
  <c r="M19" i="5"/>
  <c r="N19" i="5"/>
  <c r="N27" i="5"/>
  <c r="M27" i="5"/>
  <c r="K28" i="5"/>
  <c r="N30" i="5"/>
  <c r="N19" i="6" l="1"/>
  <c r="M19" i="6"/>
  <c r="N28" i="6"/>
  <c r="M28" i="6"/>
  <c r="N28" i="5"/>
  <c r="M28" i="5"/>
  <c r="F31" i="4" l="1"/>
  <c r="N30" i="4" s="1"/>
  <c r="F21" i="4"/>
  <c r="C18" i="4"/>
  <c r="M29" i="4"/>
  <c r="M20" i="4"/>
  <c r="M13" i="4"/>
  <c r="M25" i="4"/>
  <c r="M17" i="4"/>
  <c r="M10" i="4"/>
  <c r="H27" i="4"/>
  <c r="K25" i="4" s="1"/>
  <c r="N25" i="4" s="1"/>
  <c r="H26" i="4"/>
  <c r="F30" i="4" s="1"/>
  <c r="H18" i="4"/>
  <c r="F20" i="4" s="1"/>
  <c r="H11" i="4"/>
  <c r="F13" i="4" s="1"/>
  <c r="C15" i="4"/>
  <c r="C14" i="4"/>
  <c r="C11" i="4"/>
  <c r="G28" i="4" s="1"/>
  <c r="F14" i="4" l="1"/>
  <c r="K14" i="4" s="1"/>
  <c r="K30" i="4"/>
  <c r="M30" i="4"/>
  <c r="N21" i="4"/>
  <c r="G19" i="4"/>
  <c r="G13" i="4"/>
  <c r="K27" i="4"/>
  <c r="K26" i="4"/>
  <c r="F29" i="4"/>
  <c r="K10" i="4"/>
  <c r="K17" i="4"/>
  <c r="M14" i="4" l="1"/>
  <c r="K21" i="4"/>
  <c r="M21" i="4"/>
  <c r="N14" i="4"/>
  <c r="N10" i="4"/>
  <c r="K11" i="4"/>
  <c r="K12" i="4" s="1"/>
  <c r="N12" i="4" s="1"/>
  <c r="M26" i="4"/>
  <c r="N26" i="4"/>
  <c r="M27" i="4"/>
  <c r="K28" i="4"/>
  <c r="N28" i="4" s="1"/>
  <c r="N27" i="4"/>
  <c r="K20" i="4"/>
  <c r="N20" i="4" s="1"/>
  <c r="N17" i="4"/>
  <c r="K18" i="4"/>
  <c r="K19" i="4" s="1"/>
  <c r="N19" i="4" s="1"/>
  <c r="K13" i="4"/>
  <c r="N13" i="4" s="1"/>
  <c r="K29" i="4"/>
  <c r="N29" i="4" s="1"/>
  <c r="M11" i="4" l="1"/>
  <c r="N11" i="4"/>
  <c r="N18" i="4"/>
  <c r="M18" i="4"/>
  <c r="M12" i="4"/>
  <c r="M19" i="4"/>
  <c r="M28" i="4"/>
</calcChain>
</file>

<file path=xl/sharedStrings.xml><?xml version="1.0" encoding="utf-8"?>
<sst xmlns="http://schemas.openxmlformats.org/spreadsheetml/2006/main" count="261" uniqueCount="51">
  <si>
    <t>Baseline Year, e.g., 2019</t>
  </si>
  <si>
    <t>Airline Spend</t>
  </si>
  <si>
    <t>Budget Year, e.g., 2023</t>
  </si>
  <si>
    <t>Air Spend Budget</t>
  </si>
  <si>
    <t>CO2 Reduction Goal</t>
  </si>
  <si>
    <t>The carbon budget allows</t>
  </si>
  <si>
    <t>Airline CO2 emitted, kg</t>
  </si>
  <si>
    <t>Total spend will be</t>
  </si>
  <si>
    <t>Total emissions will be</t>
  </si>
  <si>
    <t>Number of airline trips taken</t>
  </si>
  <si>
    <t>Carbon Intensity Cap</t>
  </si>
  <si>
    <t>Trip Reduction goal</t>
  </si>
  <si>
    <t>The trip reduction goal allows</t>
  </si>
  <si>
    <t>The CO2 reduction goal allows</t>
  </si>
  <si>
    <t>kgs per trip, so</t>
  </si>
  <si>
    <t>See your results here:</t>
  </si>
  <si>
    <t>The average fare will be</t>
  </si>
  <si>
    <t>so now</t>
  </si>
  <si>
    <t>Use this model to create scenarios that reflect potential reductions in airline emissions. See the impact on total spend, average ticket prices, number of trips and overall emissions.</t>
  </si>
  <si>
    <t>Contact Scott Gillespie for more information.</t>
  </si>
  <si>
    <t>scott@tclara.com</t>
  </si>
  <si>
    <t>Yellow cells are variables; play with these.</t>
  </si>
  <si>
    <t>Gray cells contain formulas.</t>
  </si>
  <si>
    <t>Compared to the baseline year:</t>
  </si>
  <si>
    <t>kg budgeted.</t>
  </si>
  <si>
    <t xml:space="preserve"> trips allowed.</t>
  </si>
  <si>
    <t>Budget Year</t>
  </si>
  <si>
    <t>trips, so &gt;</t>
  </si>
  <si>
    <t>so &gt;</t>
  </si>
  <si>
    <t>kg, so &gt;</t>
  </si>
  <si>
    <t>per trip, so &gt;</t>
  </si>
  <si>
    <r>
      <rPr>
        <b/>
        <i/>
        <sz val="11"/>
        <color theme="1"/>
        <rFont val="Calibri"/>
        <family val="2"/>
        <scheme val="minor"/>
      </rPr>
      <t>Step 1:</t>
    </r>
    <r>
      <rPr>
        <i/>
        <sz val="11"/>
        <color theme="1"/>
        <rFont val="Calibri"/>
        <family val="2"/>
        <scheme val="minor"/>
      </rPr>
      <t xml:space="preserve"> Enter values in the </t>
    </r>
    <r>
      <rPr>
        <b/>
        <i/>
        <sz val="11"/>
        <color theme="1"/>
        <rFont val="Calibri"/>
        <family val="2"/>
        <scheme val="minor"/>
      </rPr>
      <t>yellow</t>
    </r>
    <r>
      <rPr>
        <i/>
        <sz val="11"/>
        <color theme="1"/>
        <rFont val="Calibri"/>
        <family val="2"/>
        <scheme val="minor"/>
      </rPr>
      <t xml:space="preserve"> cells in Col. C</t>
    </r>
  </si>
  <si>
    <r>
      <rPr>
        <b/>
        <i/>
        <sz val="11"/>
        <color theme="1"/>
        <rFont val="Calibri"/>
        <family val="2"/>
        <scheme val="minor"/>
      </rPr>
      <t>Step 2:</t>
    </r>
    <r>
      <rPr>
        <i/>
        <sz val="11"/>
        <color theme="1"/>
        <rFont val="Calibri"/>
        <family val="2"/>
        <scheme val="minor"/>
      </rPr>
      <t xml:space="preserve"> Enter values in the </t>
    </r>
    <r>
      <rPr>
        <b/>
        <i/>
        <sz val="11"/>
        <color theme="1"/>
        <rFont val="Calibri"/>
        <family val="2"/>
        <scheme val="minor"/>
      </rPr>
      <t>yellow</t>
    </r>
    <r>
      <rPr>
        <i/>
        <sz val="11"/>
        <color theme="1"/>
        <rFont val="Calibri"/>
        <family val="2"/>
        <scheme val="minor"/>
      </rPr>
      <t xml:space="preserve"> cells in Column F for any or all of the three methods:</t>
    </r>
  </si>
  <si>
    <t>https://www.tclara.com/carbon-budgets</t>
  </si>
  <si>
    <t>Number of employees</t>
  </si>
  <si>
    <t>CO2 per employee will be</t>
  </si>
  <si>
    <t>= Carbon Intensity Ratio</t>
  </si>
  <si>
    <t>= Avg. CO2 per trip, kg</t>
  </si>
  <si>
    <t>= Avg. Airfare per trip</t>
  </si>
  <si>
    <t>= CO2 kg per employee</t>
  </si>
  <si>
    <t>Carbon Budgeting Model v1.1</t>
  </si>
  <si>
    <t>= Carbon Intensity Cap</t>
  </si>
  <si>
    <t>= Air Spend Budget</t>
  </si>
  <si>
    <t>= Avg. CO2 kg per trip</t>
  </si>
  <si>
    <t>from tClara, February 2023</t>
  </si>
  <si>
    <t>Method 3: Set reduction goals for CO2 and trips, and set the CO2 cap in cell F28</t>
  </si>
  <si>
    <t>Number of employees in the Budget Year</t>
  </si>
  <si>
    <r>
      <t xml:space="preserve">Option 1) </t>
    </r>
    <r>
      <rPr>
        <b/>
        <sz val="14"/>
        <color rgb="FFFF0000"/>
        <rFont val="Calibri"/>
        <family val="2"/>
        <scheme val="minor"/>
      </rPr>
      <t>Require the same</t>
    </r>
    <r>
      <rPr>
        <b/>
        <sz val="14"/>
        <color theme="1"/>
        <rFont val="Calibri"/>
        <family val="2"/>
        <scheme val="minor"/>
      </rPr>
      <t xml:space="preserve"> average CO2 per trip as the baseline year's:</t>
    </r>
  </si>
  <si>
    <r>
      <t xml:space="preserve">Option 2) </t>
    </r>
    <r>
      <rPr>
        <b/>
        <sz val="14"/>
        <color rgb="FFFF0000"/>
        <rFont val="Calibri"/>
        <family val="2"/>
        <scheme val="minor"/>
      </rPr>
      <t>Allow more</t>
    </r>
    <r>
      <rPr>
        <b/>
        <sz val="14"/>
        <color theme="1"/>
        <rFont val="Calibri"/>
        <family val="2"/>
        <scheme val="minor"/>
      </rPr>
      <t xml:space="preserve"> CO2 per trip than the baseline year's average:</t>
    </r>
  </si>
  <si>
    <t>Method 1: Set The reduction goal and the air spend budget:</t>
  </si>
  <si>
    <t>Method 2: Set the CO2 reduction goal and the carbon intensity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</si>
</sst>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  <numFmt numFmtId="172" formatCode="[$£-809]#,##0"/>
    <numFmt numFmtId="173" formatCode="[$€-2]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quotePrefix="1" applyFill="1"/>
    <xf numFmtId="0" fontId="2" fillId="4" borderId="0" xfId="0" applyFont="1" applyFill="1"/>
    <xf numFmtId="9" fontId="0" fillId="3" borderId="0" xfId="0" applyNumberFormat="1" applyFill="1"/>
    <xf numFmtId="166" fontId="0" fillId="2" borderId="0" xfId="0" applyNumberFormat="1" applyFill="1"/>
    <xf numFmtId="164" fontId="0" fillId="4" borderId="0" xfId="0" applyNumberFormat="1" applyFill="1"/>
    <xf numFmtId="0" fontId="4" fillId="4" borderId="0" xfId="0" applyFont="1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9" fontId="0" fillId="3" borderId="0" xfId="3" applyFont="1" applyFill="1" applyBorder="1"/>
    <xf numFmtId="166" fontId="0" fillId="4" borderId="0" xfId="0" applyNumberFormat="1" applyFill="1"/>
    <xf numFmtId="164" fontId="0" fillId="2" borderId="0" xfId="2" applyNumberFormat="1" applyFont="1" applyFill="1" applyBorder="1"/>
    <xf numFmtId="9" fontId="0" fillId="2" borderId="0" xfId="3" applyFont="1" applyFill="1" applyBorder="1"/>
    <xf numFmtId="0" fontId="0" fillId="4" borderId="6" xfId="0" applyFill="1" applyBorder="1"/>
    <xf numFmtId="164" fontId="0" fillId="3" borderId="0" xfId="2" applyNumberFormat="1" applyFont="1" applyFill="1" applyBorder="1"/>
    <xf numFmtId="0" fontId="0" fillId="4" borderId="0" xfId="2" applyNumberFormat="1" applyFont="1" applyFill="1" applyBorder="1" applyAlignment="1">
      <alignment horizontal="right"/>
    </xf>
    <xf numFmtId="0" fontId="0" fillId="4" borderId="1" xfId="0" applyFill="1" applyBorder="1"/>
    <xf numFmtId="0" fontId="0" fillId="4" borderId="8" xfId="0" applyFill="1" applyBorder="1"/>
    <xf numFmtId="0" fontId="0" fillId="0" borderId="3" xfId="0" applyBorder="1"/>
    <xf numFmtId="0" fontId="2" fillId="4" borderId="5" xfId="0" applyFont="1" applyFill="1" applyBorder="1"/>
    <xf numFmtId="9" fontId="0" fillId="2" borderId="0" xfId="0" applyNumberFormat="1" applyFill="1"/>
    <xf numFmtId="43" fontId="0" fillId="2" borderId="0" xfId="1" applyFont="1" applyFill="1" applyBorder="1"/>
    <xf numFmtId="166" fontId="0" fillId="2" borderId="0" xfId="1" applyNumberFormat="1" applyFont="1" applyFill="1" applyBorder="1"/>
    <xf numFmtId="43" fontId="0" fillId="3" borderId="0" xfId="1" applyFont="1" applyFill="1" applyBorder="1"/>
    <xf numFmtId="0" fontId="2" fillId="4" borderId="3" xfId="2" applyNumberFormat="1" applyFont="1" applyFill="1" applyBorder="1" applyAlignment="1">
      <alignment horizontal="left"/>
    </xf>
    <xf numFmtId="0" fontId="5" fillId="4" borderId="0" xfId="4" applyFill="1"/>
    <xf numFmtId="0" fontId="6" fillId="4" borderId="0" xfId="0" applyFont="1" applyFill="1"/>
    <xf numFmtId="9" fontId="2" fillId="2" borderId="0" xfId="0" applyNumberFormat="1" applyFont="1" applyFill="1"/>
    <xf numFmtId="9" fontId="2" fillId="2" borderId="0" xfId="3" applyFont="1" applyFill="1" applyBorder="1"/>
    <xf numFmtId="0" fontId="8" fillId="4" borderId="0" xfId="0" applyFont="1" applyFill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166" fontId="0" fillId="3" borderId="4" xfId="1" applyNumberFormat="1" applyFont="1" applyFill="1" applyBorder="1"/>
    <xf numFmtId="0" fontId="0" fillId="4" borderId="5" xfId="0" applyFill="1" applyBorder="1" applyAlignment="1">
      <alignment horizontal="right"/>
    </xf>
    <xf numFmtId="6" fontId="0" fillId="3" borderId="6" xfId="0" applyNumberFormat="1" applyFill="1" applyBorder="1"/>
    <xf numFmtId="2" fontId="0" fillId="2" borderId="6" xfId="0" applyNumberFormat="1" applyFill="1" applyBorder="1"/>
    <xf numFmtId="166" fontId="0" fillId="3" borderId="6" xfId="1" applyNumberFormat="1" applyFont="1" applyFill="1" applyBorder="1"/>
    <xf numFmtId="0" fontId="0" fillId="2" borderId="6" xfId="0" applyFill="1" applyBorder="1"/>
    <xf numFmtId="164" fontId="0" fillId="2" borderId="6" xfId="2" applyNumberFormat="1" applyFont="1" applyFill="1" applyBorder="1"/>
    <xf numFmtId="166" fontId="0" fillId="2" borderId="8" xfId="1" applyNumberFormat="1" applyFont="1" applyFill="1" applyBorder="1"/>
    <xf numFmtId="0" fontId="0" fillId="4" borderId="5" xfId="0" quotePrefix="1" applyFill="1" applyBorder="1" applyAlignment="1">
      <alignment horizontal="right"/>
    </xf>
    <xf numFmtId="0" fontId="0" fillId="4" borderId="7" xfId="0" quotePrefix="1" applyFill="1" applyBorder="1" applyAlignment="1">
      <alignment horizontal="right"/>
    </xf>
    <xf numFmtId="0" fontId="0" fillId="4" borderId="0" xfId="0" applyFill="1" applyBorder="1"/>
    <xf numFmtId="166" fontId="0" fillId="2" borderId="1" xfId="1" applyNumberFormat="1" applyFont="1" applyFill="1" applyBorder="1"/>
    <xf numFmtId="166" fontId="0" fillId="2" borderId="1" xfId="0" applyNumberFormat="1" applyFill="1" applyBorder="1"/>
    <xf numFmtId="9" fontId="0" fillId="2" borderId="1" xfId="3" applyFont="1" applyFill="1" applyBorder="1"/>
    <xf numFmtId="9" fontId="0" fillId="2" borderId="0" xfId="3" applyFont="1" applyFill="1"/>
    <xf numFmtId="0" fontId="0" fillId="4" borderId="0" xfId="0" applyFill="1" applyBorder="1" applyAlignment="1">
      <alignment horizontal="right"/>
    </xf>
    <xf numFmtId="166" fontId="0" fillId="2" borderId="0" xfId="0" applyNumberFormat="1" applyFill="1" applyBorder="1"/>
    <xf numFmtId="166" fontId="2" fillId="3" borderId="0" xfId="1" applyNumberFormat="1" applyFont="1" applyFill="1"/>
    <xf numFmtId="0" fontId="0" fillId="4" borderId="1" xfId="0" applyFill="1" applyBorder="1" applyAlignment="1">
      <alignment horizontal="right"/>
    </xf>
    <xf numFmtId="0" fontId="0" fillId="0" borderId="0" xfId="0" applyBorder="1"/>
    <xf numFmtId="0" fontId="3" fillId="4" borderId="0" xfId="0" applyFont="1" applyFill="1"/>
    <xf numFmtId="0" fontId="3" fillId="4" borderId="2" xfId="0" applyFont="1" applyFill="1" applyBorder="1"/>
    <xf numFmtId="0" fontId="3" fillId="4" borderId="2" xfId="2" applyNumberFormat="1" applyFont="1" applyFill="1" applyBorder="1" applyAlignment="1">
      <alignment horizontal="left"/>
    </xf>
    <xf numFmtId="172" fontId="0" fillId="3" borderId="6" xfId="0" applyNumberFormat="1" applyFill="1" applyBorder="1"/>
    <xf numFmtId="172" fontId="0" fillId="2" borderId="6" xfId="2" applyNumberFormat="1" applyFont="1" applyFill="1" applyBorder="1"/>
    <xf numFmtId="172" fontId="0" fillId="3" borderId="0" xfId="2" applyNumberFormat="1" applyFont="1" applyFill="1" applyBorder="1"/>
    <xf numFmtId="172" fontId="0" fillId="2" borderId="0" xfId="2" applyNumberFormat="1" applyFont="1" applyFill="1" applyBorder="1"/>
    <xf numFmtId="173" fontId="0" fillId="3" borderId="6" xfId="0" applyNumberFormat="1" applyFill="1" applyBorder="1"/>
    <xf numFmtId="173" fontId="0" fillId="2" borderId="6" xfId="2" applyNumberFormat="1" applyFont="1" applyFill="1" applyBorder="1"/>
    <xf numFmtId="173" fontId="0" fillId="3" borderId="0" xfId="2" applyNumberFormat="1" applyFont="1" applyFill="1" applyBorder="1"/>
    <xf numFmtId="173" fontId="0" fillId="2" borderId="0" xfId="2" applyNumberFormat="1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496144</xdr:colOff>
      <xdr:row>5</xdr:row>
      <xdr:rowOff>144780</xdr:rowOff>
    </xdr:from>
    <xdr:to>
      <xdr:col>2</xdr:col>
      <xdr:colOff>694264</xdr:colOff>
      <xdr:row>7</xdr:row>
      <xdr:rowOff>83820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3984C5FB-901C-08D7-CE6F-0946EB9B04F7}"/>
            </a:ext>
          </a:extLst>
        </xdr:cNvPr>
        <xdr:cNvSpPr/>
      </xdr:nvSpPr>
      <xdr:spPr>
        <a:xfrm>
          <a:off x="2519677" y="1186180"/>
          <a:ext cx="198120" cy="31157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423335</xdr:colOff>
      <xdr:row>6</xdr:row>
      <xdr:rowOff>13547</xdr:rowOff>
    </xdr:from>
    <xdr:to>
      <xdr:col>5</xdr:col>
      <xdr:colOff>660401</xdr:colOff>
      <xdr:row>7</xdr:row>
      <xdr:rowOff>143934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E7F859B3-74C9-4A9D-8465-A61A6CA92DA5}"/>
            </a:ext>
          </a:extLst>
        </xdr:cNvPr>
        <xdr:cNvSpPr/>
      </xdr:nvSpPr>
      <xdr:spPr>
        <a:xfrm>
          <a:off x="5300135" y="978747"/>
          <a:ext cx="237066" cy="358987"/>
        </a:xfrm>
        <a:prstGeom prst="downArrow">
          <a:avLst>
            <a:gd name="adj1" fmla="val 50000"/>
            <a:gd name="adj2" fmla="val 53572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312420</xdr:colOff>
      <xdr:row>5</xdr:row>
      <xdr:rowOff>144780</xdr:rowOff>
    </xdr:from>
    <xdr:to>
      <xdr:col>10</xdr:col>
      <xdr:colOff>510540</xdr:colOff>
      <xdr:row>7</xdr:row>
      <xdr:rowOff>83820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89FEF3C6-F171-41B1-BBEE-AF83DA30836C}"/>
            </a:ext>
          </a:extLst>
        </xdr:cNvPr>
        <xdr:cNvSpPr/>
      </xdr:nvSpPr>
      <xdr:spPr>
        <a:xfrm>
          <a:off x="9608820" y="1143000"/>
          <a:ext cx="19812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251460</xdr:colOff>
      <xdr:row>5</xdr:row>
      <xdr:rowOff>144780</xdr:rowOff>
    </xdr:from>
    <xdr:to>
      <xdr:col>12</xdr:col>
      <xdr:colOff>449580</xdr:colOff>
      <xdr:row>7</xdr:row>
      <xdr:rowOff>83820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55A1D71F-C842-4CF8-A92A-13538DF6CD03}"/>
            </a:ext>
          </a:extLst>
        </xdr:cNvPr>
        <xdr:cNvSpPr/>
      </xdr:nvSpPr>
      <xdr:spPr>
        <a:xfrm>
          <a:off x="11247120" y="1143000"/>
          <a:ext cx="19812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480059</xdr:colOff>
      <xdr:row>25</xdr:row>
      <xdr:rowOff>76200</xdr:rowOff>
    </xdr:from>
    <xdr:to>
      <xdr:col>2</xdr:col>
      <xdr:colOff>511592</xdr:colOff>
      <xdr:row>28</xdr:row>
      <xdr:rowOff>113317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2CC6AA-474E-F126-48A7-C59D216F9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79" y="4251960"/>
          <a:ext cx="1888273" cy="585757"/>
        </a:xfrm>
        <a:prstGeom prst="rect">
          <a:avLst/>
        </a:prstGeom>
      </xdr:spPr>
    </xdr:pic>
    <xdr:clientData/>
  </xdr:twoCellAnchor>
  <xdr:twoCellAnchor>
    <xdr:from>
      <xdr:col>5</xdr:col>
      <xdr:colOff>588859</xdr:colOff>
      <xdr:row>5</xdr:row>
      <xdr:rowOff>54609</xdr:rowOff>
    </xdr:from>
    <xdr:to>
      <xdr:col>5</xdr:col>
      <xdr:colOff>1100671</xdr:colOff>
      <xdr:row>7</xdr:row>
      <xdr:rowOff>8465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8ACFEF0E-61EF-434E-93D8-05841AC97224}"/>
            </a:ext>
          </a:extLst>
        </xdr:cNvPr>
        <xdr:cNvSpPr/>
      </xdr:nvSpPr>
      <xdr:spPr>
        <a:xfrm rot="16200000">
          <a:off x="5596470" y="778931"/>
          <a:ext cx="250190" cy="511812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496144</xdr:colOff>
      <xdr:row>5</xdr:row>
      <xdr:rowOff>144780</xdr:rowOff>
    </xdr:from>
    <xdr:to>
      <xdr:col>2</xdr:col>
      <xdr:colOff>694264</xdr:colOff>
      <xdr:row>7</xdr:row>
      <xdr:rowOff>83820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7D2182A4-FB30-40AA-B924-B7BAAB79A583}"/>
            </a:ext>
          </a:extLst>
        </xdr:cNvPr>
        <xdr:cNvSpPr/>
      </xdr:nvSpPr>
      <xdr:spPr>
        <a:xfrm>
          <a:off x="2515444" y="952500"/>
          <a:ext cx="198120" cy="3124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423335</xdr:colOff>
      <xdr:row>6</xdr:row>
      <xdr:rowOff>13547</xdr:rowOff>
    </xdr:from>
    <xdr:to>
      <xdr:col>5</xdr:col>
      <xdr:colOff>660401</xdr:colOff>
      <xdr:row>7</xdr:row>
      <xdr:rowOff>143934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8CBBC74A-13AF-461E-8544-EA4031D777CE}"/>
            </a:ext>
          </a:extLst>
        </xdr:cNvPr>
        <xdr:cNvSpPr/>
      </xdr:nvSpPr>
      <xdr:spPr>
        <a:xfrm>
          <a:off x="5300135" y="966047"/>
          <a:ext cx="237066" cy="358987"/>
        </a:xfrm>
        <a:prstGeom prst="downArrow">
          <a:avLst>
            <a:gd name="adj1" fmla="val 50000"/>
            <a:gd name="adj2" fmla="val 53572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312420</xdr:colOff>
      <xdr:row>5</xdr:row>
      <xdr:rowOff>144780</xdr:rowOff>
    </xdr:from>
    <xdr:to>
      <xdr:col>10</xdr:col>
      <xdr:colOff>510540</xdr:colOff>
      <xdr:row>7</xdr:row>
      <xdr:rowOff>83820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3C53A44-816C-4F51-8395-111FAC986B82}"/>
            </a:ext>
          </a:extLst>
        </xdr:cNvPr>
        <xdr:cNvSpPr/>
      </xdr:nvSpPr>
      <xdr:spPr>
        <a:xfrm>
          <a:off x="10622280" y="952500"/>
          <a:ext cx="198120" cy="3124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251460</xdr:colOff>
      <xdr:row>5</xdr:row>
      <xdr:rowOff>144780</xdr:rowOff>
    </xdr:from>
    <xdr:to>
      <xdr:col>12</xdr:col>
      <xdr:colOff>449580</xdr:colOff>
      <xdr:row>7</xdr:row>
      <xdr:rowOff>83820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6DDDC7A5-D515-4219-AEC9-3F8D8B02D527}"/>
            </a:ext>
          </a:extLst>
        </xdr:cNvPr>
        <xdr:cNvSpPr/>
      </xdr:nvSpPr>
      <xdr:spPr>
        <a:xfrm>
          <a:off x="12710160" y="952500"/>
          <a:ext cx="198120" cy="3124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480059</xdr:colOff>
      <xdr:row>25</xdr:row>
      <xdr:rowOff>76200</xdr:rowOff>
    </xdr:from>
    <xdr:to>
      <xdr:col>2</xdr:col>
      <xdr:colOff>511592</xdr:colOff>
      <xdr:row>28</xdr:row>
      <xdr:rowOff>113317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77040B-7EB3-49E2-A0B8-5FB49A405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" y="4594860"/>
          <a:ext cx="1883193" cy="585757"/>
        </a:xfrm>
        <a:prstGeom prst="rect">
          <a:avLst/>
        </a:prstGeom>
      </xdr:spPr>
    </xdr:pic>
    <xdr:clientData/>
  </xdr:twoCellAnchor>
  <xdr:twoCellAnchor>
    <xdr:from>
      <xdr:col>5</xdr:col>
      <xdr:colOff>588859</xdr:colOff>
      <xdr:row>5</xdr:row>
      <xdr:rowOff>54609</xdr:rowOff>
    </xdr:from>
    <xdr:to>
      <xdr:col>5</xdr:col>
      <xdr:colOff>1100671</xdr:colOff>
      <xdr:row>7</xdr:row>
      <xdr:rowOff>8465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6B321AE9-EC5C-4B39-A1C1-E454168A3E47}"/>
            </a:ext>
          </a:extLst>
        </xdr:cNvPr>
        <xdr:cNvSpPr/>
      </xdr:nvSpPr>
      <xdr:spPr>
        <a:xfrm rot="16200000">
          <a:off x="5576997" y="789091"/>
          <a:ext cx="289136" cy="511812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496144</xdr:colOff>
      <xdr:row>5</xdr:row>
      <xdr:rowOff>144780</xdr:rowOff>
    </xdr:from>
    <xdr:to>
      <xdr:col>2</xdr:col>
      <xdr:colOff>694264</xdr:colOff>
      <xdr:row>7</xdr:row>
      <xdr:rowOff>83820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BA1B27E2-C76E-47AB-87D7-C5F9D57B05CB}"/>
            </a:ext>
          </a:extLst>
        </xdr:cNvPr>
        <xdr:cNvSpPr/>
      </xdr:nvSpPr>
      <xdr:spPr>
        <a:xfrm>
          <a:off x="2515444" y="952500"/>
          <a:ext cx="198120" cy="3124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423335</xdr:colOff>
      <xdr:row>6</xdr:row>
      <xdr:rowOff>13547</xdr:rowOff>
    </xdr:from>
    <xdr:to>
      <xdr:col>5</xdr:col>
      <xdr:colOff>660401</xdr:colOff>
      <xdr:row>7</xdr:row>
      <xdr:rowOff>143934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854DADD6-DB60-4C70-9CC2-4AC63875DD3C}"/>
            </a:ext>
          </a:extLst>
        </xdr:cNvPr>
        <xdr:cNvSpPr/>
      </xdr:nvSpPr>
      <xdr:spPr>
        <a:xfrm>
          <a:off x="5300135" y="966047"/>
          <a:ext cx="237066" cy="358987"/>
        </a:xfrm>
        <a:prstGeom prst="downArrow">
          <a:avLst>
            <a:gd name="adj1" fmla="val 50000"/>
            <a:gd name="adj2" fmla="val 53572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312420</xdr:colOff>
      <xdr:row>5</xdr:row>
      <xdr:rowOff>144780</xdr:rowOff>
    </xdr:from>
    <xdr:to>
      <xdr:col>10</xdr:col>
      <xdr:colOff>510540</xdr:colOff>
      <xdr:row>7</xdr:row>
      <xdr:rowOff>83820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7C7B032-DB70-43D5-B699-4CEA34E35159}"/>
            </a:ext>
          </a:extLst>
        </xdr:cNvPr>
        <xdr:cNvSpPr/>
      </xdr:nvSpPr>
      <xdr:spPr>
        <a:xfrm>
          <a:off x="10622280" y="952500"/>
          <a:ext cx="198120" cy="3124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251460</xdr:colOff>
      <xdr:row>5</xdr:row>
      <xdr:rowOff>144780</xdr:rowOff>
    </xdr:from>
    <xdr:to>
      <xdr:col>12</xdr:col>
      <xdr:colOff>449580</xdr:colOff>
      <xdr:row>7</xdr:row>
      <xdr:rowOff>83820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F64C8647-43A3-42E6-A359-EDAB9990267C}"/>
            </a:ext>
          </a:extLst>
        </xdr:cNvPr>
        <xdr:cNvSpPr/>
      </xdr:nvSpPr>
      <xdr:spPr>
        <a:xfrm>
          <a:off x="12710160" y="952500"/>
          <a:ext cx="198120" cy="3124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480059</xdr:colOff>
      <xdr:row>25</xdr:row>
      <xdr:rowOff>76200</xdr:rowOff>
    </xdr:from>
    <xdr:to>
      <xdr:col>2</xdr:col>
      <xdr:colOff>511592</xdr:colOff>
      <xdr:row>28</xdr:row>
      <xdr:rowOff>113317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6AB9745-9E92-4298-8BE6-895AD1F8C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" y="4594860"/>
          <a:ext cx="1883193" cy="585757"/>
        </a:xfrm>
        <a:prstGeom prst="rect">
          <a:avLst/>
        </a:prstGeom>
      </xdr:spPr>
    </xdr:pic>
    <xdr:clientData/>
  </xdr:twoCellAnchor>
  <xdr:twoCellAnchor>
    <xdr:from>
      <xdr:col>5</xdr:col>
      <xdr:colOff>588859</xdr:colOff>
      <xdr:row>5</xdr:row>
      <xdr:rowOff>54609</xdr:rowOff>
    </xdr:from>
    <xdr:to>
      <xdr:col>5</xdr:col>
      <xdr:colOff>1100671</xdr:colOff>
      <xdr:row>7</xdr:row>
      <xdr:rowOff>8465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32ED0A06-6921-41C2-8975-61D03849E169}"/>
            </a:ext>
          </a:extLst>
        </xdr:cNvPr>
        <xdr:cNvSpPr/>
      </xdr:nvSpPr>
      <xdr:spPr>
        <a:xfrm rot="16200000">
          <a:off x="5576997" y="789091"/>
          <a:ext cx="289136" cy="511812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clara.com/carbon-budgets" TargetMode="External"/><Relationship Id="rId1" Type="http://schemas.openxmlformats.org/officeDocument/2006/relationships/hyperlink" Target="mailto:scott@tclara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clara.com/carbon-budgets" TargetMode="External"/><Relationship Id="rId1" Type="http://schemas.openxmlformats.org/officeDocument/2006/relationships/hyperlink" Target="mailto:scott@tclara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tclara.com/carbon-budgets" TargetMode="External"/><Relationship Id="rId1" Type="http://schemas.openxmlformats.org/officeDocument/2006/relationships/hyperlink" Target="mailto:scott@tclara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2CA0-69AF-447C-9BF5-56FA49A61EDD}">
  <dimension ref="A1:AN149"/>
  <sheetViews>
    <sheetView tabSelected="1" zoomScale="90" zoomScaleNormal="90" workbookViewId="0">
      <selection activeCell="E15" sqref="E15"/>
    </sheetView>
  </sheetViews>
  <sheetFormatPr defaultRowHeight="14.4" x14ac:dyDescent="0.3"/>
  <cols>
    <col min="1" max="1" width="2.44140625" customWidth="1"/>
    <col min="2" max="2" width="27" customWidth="1"/>
    <col min="3" max="3" width="15.6640625" customWidth="1"/>
    <col min="4" max="4" width="3.109375" style="2" customWidth="1"/>
    <col min="5" max="5" width="22.88671875" customWidth="1"/>
    <col min="6" max="6" width="16.33203125" customWidth="1"/>
    <col min="7" max="7" width="10.21875" customWidth="1"/>
    <col min="8" max="8" width="11.88671875" customWidth="1"/>
    <col min="9" max="9" width="14.6640625" style="2" customWidth="1"/>
    <col min="10" max="10" width="26.109375" style="2" customWidth="1"/>
    <col min="11" max="11" width="16.33203125" customWidth="1"/>
    <col min="12" max="12" width="15" style="2" customWidth="1"/>
    <col min="13" max="13" width="9.109375" customWidth="1"/>
    <col min="14" max="16" width="8.88671875" style="2"/>
    <col min="17" max="17" width="4.33203125" style="2" customWidth="1"/>
    <col min="18" max="32" width="8.88671875" style="2"/>
  </cols>
  <sheetData>
    <row r="1" spans="1:36" s="2" customFormat="1" ht="7.2" customHeight="1" x14ac:dyDescent="0.3"/>
    <row r="2" spans="1:36" s="2" customFormat="1" ht="23.4" x14ac:dyDescent="0.45">
      <c r="B2" s="34" t="s">
        <v>40</v>
      </c>
      <c r="E2" s="2" t="s">
        <v>18</v>
      </c>
    </row>
    <row r="3" spans="1:36" s="2" customFormat="1" x14ac:dyDescent="0.3">
      <c r="B3" s="2" t="s">
        <v>44</v>
      </c>
      <c r="E3" s="4" t="s">
        <v>21</v>
      </c>
      <c r="F3" s="4"/>
      <c r="H3" s="1" t="s">
        <v>22</v>
      </c>
      <c r="I3" s="1"/>
    </row>
    <row r="4" spans="1:36" s="2" customFormat="1" ht="7.2" customHeight="1" x14ac:dyDescent="0.3"/>
    <row r="5" spans="1:36" s="2" customFormat="1" x14ac:dyDescent="0.3">
      <c r="B5" s="35" t="s">
        <v>31</v>
      </c>
      <c r="C5" s="35"/>
      <c r="E5" s="10" t="s">
        <v>32</v>
      </c>
      <c r="K5" s="35" t="s">
        <v>15</v>
      </c>
      <c r="L5" s="35"/>
      <c r="M5" s="35"/>
    </row>
    <row r="6" spans="1:36" s="2" customFormat="1" ht="8.4" customHeight="1" x14ac:dyDescent="0.3"/>
    <row r="7" spans="1:36" ht="18" x14ac:dyDescent="0.35">
      <c r="A7" s="2"/>
      <c r="B7" s="59" t="s">
        <v>0</v>
      </c>
      <c r="C7" s="2"/>
      <c r="E7" s="59" t="s">
        <v>2</v>
      </c>
      <c r="F7" s="2"/>
      <c r="G7" s="56">
        <v>7000</v>
      </c>
      <c r="H7" s="2" t="s">
        <v>46</v>
      </c>
      <c r="K7" s="2"/>
      <c r="M7" s="2"/>
      <c r="AG7" s="2"/>
      <c r="AH7" s="2"/>
      <c r="AI7" s="2"/>
      <c r="AJ7" s="2"/>
    </row>
    <row r="8" spans="1:36" s="2" customFormat="1" x14ac:dyDescent="0.3"/>
    <row r="9" spans="1:36" ht="18" x14ac:dyDescent="0.35">
      <c r="A9" s="2"/>
      <c r="B9" s="38" t="s">
        <v>6</v>
      </c>
      <c r="C9" s="39">
        <v>1200000</v>
      </c>
      <c r="E9" s="60" t="s">
        <v>47</v>
      </c>
      <c r="F9" s="11"/>
      <c r="G9" s="11"/>
      <c r="H9" s="11"/>
      <c r="I9" s="11"/>
      <c r="J9" s="11"/>
      <c r="K9" s="23" t="s">
        <v>26</v>
      </c>
      <c r="L9" s="11"/>
      <c r="M9" s="23" t="s">
        <v>23</v>
      </c>
      <c r="N9" s="11"/>
      <c r="O9" s="11"/>
      <c r="P9" s="11"/>
      <c r="Q9" s="12"/>
    </row>
    <row r="10" spans="1:36" x14ac:dyDescent="0.3">
      <c r="A10" s="2"/>
      <c r="B10" s="40" t="s">
        <v>1</v>
      </c>
      <c r="C10" s="41">
        <v>1000000</v>
      </c>
      <c r="E10" s="24" t="s">
        <v>49</v>
      </c>
      <c r="F10" s="2"/>
      <c r="G10" s="2"/>
      <c r="H10" s="2"/>
      <c r="J10" s="3" t="s">
        <v>5</v>
      </c>
      <c r="K10" s="8">
        <f>(C9*(1-F11)/C14)</f>
        <v>1600</v>
      </c>
      <c r="L10" s="2" t="s">
        <v>27</v>
      </c>
      <c r="M10" s="25">
        <f>ABS(F11)</f>
        <v>0.2</v>
      </c>
      <c r="N10" s="2" t="str">
        <f>IF($C$13&gt;K10,"fewer trips.","more trips.")</f>
        <v>fewer trips.</v>
      </c>
      <c r="Q10" s="18"/>
    </row>
    <row r="11" spans="1:36" x14ac:dyDescent="0.3">
      <c r="A11" s="2"/>
      <c r="B11" s="47" t="s">
        <v>36</v>
      </c>
      <c r="C11" s="42">
        <f>C9/C10</f>
        <v>1.2</v>
      </c>
      <c r="E11" s="13" t="s">
        <v>4</v>
      </c>
      <c r="F11" s="14">
        <v>0.2</v>
      </c>
      <c r="G11" s="5" t="s">
        <v>17</v>
      </c>
      <c r="H11" s="8">
        <f>$C$9*(1-F11)</f>
        <v>960000</v>
      </c>
      <c r="I11" s="15" t="s">
        <v>24</v>
      </c>
      <c r="J11" s="3" t="s">
        <v>16</v>
      </c>
      <c r="K11" s="16">
        <f>F12/K10</f>
        <v>500</v>
      </c>
      <c r="L11" s="2" t="s">
        <v>28</v>
      </c>
      <c r="M11" s="17">
        <f>ABS((K11/C15)-1)</f>
        <v>0</v>
      </c>
      <c r="N11" s="2" t="str">
        <f>IF($C$15&gt;K11,"lower airfares on average.","higher airfares on average.")</f>
        <v>higher airfares on average.</v>
      </c>
      <c r="Q11" s="18"/>
    </row>
    <row r="12" spans="1:36" x14ac:dyDescent="0.3">
      <c r="A12" s="2"/>
      <c r="B12" s="40"/>
      <c r="C12" s="18"/>
      <c r="E12" s="13" t="s">
        <v>3</v>
      </c>
      <c r="F12" s="19">
        <v>800000</v>
      </c>
      <c r="G12" s="2"/>
      <c r="H12" s="2"/>
      <c r="J12" s="20" t="s">
        <v>7</v>
      </c>
      <c r="K12" s="16">
        <f>K10*K11</f>
        <v>800000</v>
      </c>
      <c r="L12" s="2" t="s">
        <v>28</v>
      </c>
      <c r="M12" s="17">
        <f>ABS((K12-$C$10)/$C$10)</f>
        <v>0.2</v>
      </c>
      <c r="N12" s="36" t="str">
        <f>IF($C$10&gt;K12,"less spend.","more spend.")</f>
        <v>less spend.</v>
      </c>
      <c r="O12" s="36"/>
      <c r="P12" s="36"/>
      <c r="Q12" s="37"/>
    </row>
    <row r="13" spans="1:36" x14ac:dyDescent="0.3">
      <c r="A13" s="2"/>
      <c r="B13" s="40" t="s">
        <v>9</v>
      </c>
      <c r="C13" s="43">
        <v>2000</v>
      </c>
      <c r="E13" s="47" t="s">
        <v>41</v>
      </c>
      <c r="F13" s="26">
        <f>H11/F12</f>
        <v>1.2</v>
      </c>
      <c r="G13" s="31" t="str">
        <f>IF(F13&gt;$C$11,"  This is higher than the baseline year's.","")</f>
        <v/>
      </c>
      <c r="H13" s="2"/>
      <c r="J13" s="20" t="s">
        <v>8</v>
      </c>
      <c r="K13" s="8">
        <f>K10*$C$14</f>
        <v>960000</v>
      </c>
      <c r="L13" s="2" t="s">
        <v>29</v>
      </c>
      <c r="M13" s="32">
        <f>ABS(F11)</f>
        <v>0.2</v>
      </c>
      <c r="N13" s="6" t="str">
        <f>IF($C$9&gt;K13,"lower total emissions.","higher total emissions.")</f>
        <v>lower total emissions.</v>
      </c>
      <c r="Q13" s="18"/>
    </row>
    <row r="14" spans="1:36" x14ac:dyDescent="0.3">
      <c r="A14" s="2"/>
      <c r="B14" s="47" t="s">
        <v>37</v>
      </c>
      <c r="C14" s="44">
        <f>C9/C13</f>
        <v>600</v>
      </c>
      <c r="E14" s="47" t="s">
        <v>39</v>
      </c>
      <c r="F14" s="8">
        <f>H11/G7</f>
        <v>137.14285714285714</v>
      </c>
      <c r="G14" s="2"/>
      <c r="H14" s="2"/>
      <c r="J14" s="3" t="s">
        <v>35</v>
      </c>
      <c r="K14" s="8">
        <f>F14</f>
        <v>137.14285714285714</v>
      </c>
      <c r="L14" s="2" t="s">
        <v>29</v>
      </c>
      <c r="M14" s="53">
        <f>ABS((C18-F14)/C18)</f>
        <v>0.19999999999999996</v>
      </c>
      <c r="N14" s="49" t="str">
        <f>IF(C18&gt;F14,"lower CO2 per employee.","higher CO2 per employee.")</f>
        <v>lower CO2 per employee.</v>
      </c>
      <c r="Q14" s="18"/>
    </row>
    <row r="15" spans="1:36" x14ac:dyDescent="0.3">
      <c r="A15" s="2"/>
      <c r="B15" s="47" t="s">
        <v>38</v>
      </c>
      <c r="C15" s="45">
        <f>C10/C13</f>
        <v>500</v>
      </c>
      <c r="E15" s="13"/>
      <c r="F15" s="2"/>
      <c r="G15" s="2"/>
      <c r="H15" s="2"/>
      <c r="K15" s="2"/>
      <c r="M15" s="2"/>
      <c r="Q15" s="18"/>
    </row>
    <row r="16" spans="1:36" ht="8.4" customHeight="1" x14ac:dyDescent="0.3">
      <c r="A16" s="2"/>
      <c r="B16" s="13"/>
      <c r="C16" s="18"/>
      <c r="E16" s="13"/>
      <c r="F16" s="2"/>
      <c r="G16" s="2"/>
      <c r="H16" s="2"/>
      <c r="K16" s="2"/>
      <c r="M16" s="2"/>
      <c r="Q16" s="18"/>
    </row>
    <row r="17" spans="1:40" x14ac:dyDescent="0.3">
      <c r="A17" s="2"/>
      <c r="B17" s="40" t="s">
        <v>34</v>
      </c>
      <c r="C17" s="43">
        <v>7000</v>
      </c>
      <c r="E17" s="24" t="s">
        <v>50</v>
      </c>
      <c r="F17" s="2"/>
      <c r="G17" s="2"/>
      <c r="H17" s="2"/>
      <c r="J17" s="3" t="s">
        <v>5</v>
      </c>
      <c r="K17" s="27">
        <f>(C9*(1-F18))/C14</f>
        <v>1600</v>
      </c>
      <c r="L17" s="2" t="s">
        <v>27</v>
      </c>
      <c r="M17" s="25">
        <f>ABS(F18)</f>
        <v>0.2</v>
      </c>
      <c r="N17" s="2" t="str">
        <f>IF($C$13&gt;K17,"fewer trips.","more trips.")</f>
        <v>fewer trips.</v>
      </c>
      <c r="Q17" s="18"/>
    </row>
    <row r="18" spans="1:40" x14ac:dyDescent="0.3">
      <c r="A18" s="2"/>
      <c r="B18" s="48" t="s">
        <v>39</v>
      </c>
      <c r="C18" s="46">
        <f>C9/C17</f>
        <v>171.42857142857142</v>
      </c>
      <c r="E18" s="13" t="s">
        <v>4</v>
      </c>
      <c r="F18" s="14">
        <v>0.2</v>
      </c>
      <c r="G18" s="5" t="s">
        <v>17</v>
      </c>
      <c r="H18" s="8">
        <f>$C$9*(1-F18)</f>
        <v>960000</v>
      </c>
      <c r="I18" s="15" t="s">
        <v>24</v>
      </c>
      <c r="J18" s="3" t="s">
        <v>16</v>
      </c>
      <c r="K18" s="16">
        <f>F20/K17</f>
        <v>545.4545454545455</v>
      </c>
      <c r="L18" s="2" t="s">
        <v>28</v>
      </c>
      <c r="M18" s="17">
        <f>ABS((K18/C15)-1)</f>
        <v>9.090909090909105E-2</v>
      </c>
      <c r="N18" s="2" t="str">
        <f>IF($C$15&gt;K18,"lower airfares on average.","higher airfares on average.")</f>
        <v>higher airfares on average.</v>
      </c>
      <c r="Q18" s="18"/>
    </row>
    <row r="19" spans="1:40" x14ac:dyDescent="0.3">
      <c r="A19" s="2"/>
      <c r="B19" s="2"/>
      <c r="C19" s="2"/>
      <c r="E19" s="13" t="s">
        <v>10</v>
      </c>
      <c r="F19" s="28">
        <v>1.1000000000000001</v>
      </c>
      <c r="G19" s="31" t="str">
        <f>IF(F19&gt;$C$11,"  This is higher than the baseline year's.","")</f>
        <v/>
      </c>
      <c r="H19" s="2"/>
      <c r="J19" s="20" t="s">
        <v>7</v>
      </c>
      <c r="K19" s="16">
        <f>K17*K18</f>
        <v>872727.27272727282</v>
      </c>
      <c r="L19" s="2" t="s">
        <v>28</v>
      </c>
      <c r="M19" s="17">
        <f>ABS((K19-$C$10)/$C$10)</f>
        <v>0.12727272727272718</v>
      </c>
      <c r="N19" s="36" t="str">
        <f>IF($C$10&gt;K19,"less spend.","more spend.")</f>
        <v>less spend.</v>
      </c>
      <c r="O19" s="36"/>
      <c r="P19" s="36"/>
      <c r="Q19" s="37"/>
    </row>
    <row r="20" spans="1:40" x14ac:dyDescent="0.3">
      <c r="A20" s="2"/>
      <c r="B20" s="4" t="s">
        <v>21</v>
      </c>
      <c r="C20" s="4"/>
      <c r="E20" s="47" t="s">
        <v>42</v>
      </c>
      <c r="F20" s="16">
        <f>H18/F19</f>
        <v>872727.27272727271</v>
      </c>
      <c r="G20" s="31"/>
      <c r="H20" s="2"/>
      <c r="J20" s="20" t="s">
        <v>8</v>
      </c>
      <c r="K20" s="27">
        <f>K17*$C$14</f>
        <v>960000</v>
      </c>
      <c r="L20" s="2" t="s">
        <v>29</v>
      </c>
      <c r="M20" s="32">
        <f>ABS(F18)</f>
        <v>0.2</v>
      </c>
      <c r="N20" s="6" t="str">
        <f>IF($C$9&gt;K20,"lower total emissions.","higher total emissions.")</f>
        <v>lower total emissions.</v>
      </c>
      <c r="Q20" s="18"/>
      <c r="AG20" s="2"/>
      <c r="AH20" s="2"/>
      <c r="AI20" s="2"/>
      <c r="AJ20" s="2"/>
      <c r="AK20" s="2"/>
      <c r="AL20" s="2"/>
      <c r="AM20" s="2"/>
      <c r="AN20" s="2"/>
    </row>
    <row r="21" spans="1:40" ht="16.8" customHeight="1" x14ac:dyDescent="0.3">
      <c r="A21" s="2"/>
      <c r="B21" s="1" t="s">
        <v>22</v>
      </c>
      <c r="C21" s="1"/>
      <c r="E21" s="48" t="s">
        <v>39</v>
      </c>
      <c r="F21" s="50">
        <f>H18/G7</f>
        <v>137.14285714285714</v>
      </c>
      <c r="G21" s="21"/>
      <c r="H21" s="21"/>
      <c r="I21" s="21"/>
      <c r="J21" s="57" t="s">
        <v>35</v>
      </c>
      <c r="K21" s="51">
        <f>F21</f>
        <v>137.14285714285714</v>
      </c>
      <c r="L21" s="21" t="s">
        <v>29</v>
      </c>
      <c r="M21" s="52">
        <f>ABS((C18-F21)/C18)</f>
        <v>0.19999999999999996</v>
      </c>
      <c r="N21" s="21" t="str">
        <f>IF(C18&gt;F21,"lower CO2 per employee.","higher CO2 per employee.")</f>
        <v>lower CO2 per employee.</v>
      </c>
      <c r="O21" s="21"/>
      <c r="P21" s="21"/>
      <c r="Q21" s="22"/>
      <c r="AG21" s="2"/>
      <c r="AH21" s="2"/>
      <c r="AI21" s="2"/>
      <c r="AJ21" s="2"/>
      <c r="AK21" s="2"/>
      <c r="AL21" s="2"/>
      <c r="AM21" s="2"/>
      <c r="AN21" s="2"/>
    </row>
    <row r="22" spans="1:40" x14ac:dyDescent="0.3">
      <c r="A22" s="2"/>
      <c r="B22" s="2"/>
      <c r="C22" s="2"/>
      <c r="E22" s="2"/>
      <c r="F22" s="2"/>
      <c r="G22" s="49"/>
      <c r="H22" s="49"/>
      <c r="I22" s="49"/>
      <c r="J22" s="49"/>
      <c r="K22" s="58"/>
      <c r="L22" s="49"/>
      <c r="M22" s="58"/>
      <c r="N22" s="49"/>
      <c r="O22" s="49"/>
      <c r="P22" s="49"/>
      <c r="Q22" s="49"/>
      <c r="R22" s="49"/>
      <c r="AG22" s="2"/>
      <c r="AH22" s="2"/>
      <c r="AI22" s="2"/>
      <c r="AJ22" s="2"/>
      <c r="AK22" s="2"/>
      <c r="AL22" s="2"/>
      <c r="AM22" s="2"/>
      <c r="AN22" s="2"/>
    </row>
    <row r="23" spans="1:40" x14ac:dyDescent="0.3">
      <c r="A23" s="2"/>
      <c r="B23" s="2" t="s">
        <v>19</v>
      </c>
      <c r="C23" s="2"/>
      <c r="E23" s="2"/>
      <c r="F23" s="2"/>
      <c r="G23" s="2"/>
      <c r="H23" s="2"/>
      <c r="K23" s="9"/>
      <c r="M23" s="2"/>
    </row>
    <row r="24" spans="1:40" ht="18" x14ac:dyDescent="0.35">
      <c r="A24" s="2"/>
      <c r="B24" s="30" t="s">
        <v>20</v>
      </c>
      <c r="C24" s="2"/>
      <c r="E24" s="61" t="s">
        <v>48</v>
      </c>
      <c r="F24" s="11"/>
      <c r="G24" s="11"/>
      <c r="H24" s="11"/>
      <c r="I24" s="11"/>
      <c r="J24" s="29"/>
      <c r="K24" s="23" t="s">
        <v>26</v>
      </c>
      <c r="L24" s="11"/>
      <c r="M24" s="23" t="s">
        <v>23</v>
      </c>
      <c r="N24" s="11"/>
      <c r="O24" s="11"/>
      <c r="P24" s="11"/>
      <c r="Q24" s="12"/>
    </row>
    <row r="25" spans="1:40" x14ac:dyDescent="0.3">
      <c r="A25" s="2"/>
      <c r="B25" s="30" t="s">
        <v>33</v>
      </c>
      <c r="C25" s="2"/>
      <c r="E25" s="24" t="s">
        <v>45</v>
      </c>
      <c r="G25" s="2"/>
      <c r="J25" s="3" t="s">
        <v>12</v>
      </c>
      <c r="K25" s="27">
        <f>H27</f>
        <v>1400</v>
      </c>
      <c r="L25" s="2" t="s">
        <v>27</v>
      </c>
      <c r="M25" s="25">
        <f>ABS(F27)</f>
        <v>0.3</v>
      </c>
      <c r="N25" s="2" t="str">
        <f>IF($C$13&gt;K25,"fewer trips.","more trips.")</f>
        <v>fewer trips.</v>
      </c>
      <c r="Q25" s="18"/>
    </row>
    <row r="26" spans="1:40" x14ac:dyDescent="0.3">
      <c r="A26" s="2"/>
      <c r="B26" s="2"/>
      <c r="C26" s="2"/>
      <c r="E26" s="13" t="s">
        <v>4</v>
      </c>
      <c r="F26" s="14">
        <v>0.2</v>
      </c>
      <c r="G26" s="5" t="s">
        <v>17</v>
      </c>
      <c r="H26" s="8">
        <f>$C$9*(1-F26)</f>
        <v>960000</v>
      </c>
      <c r="I26" s="15" t="s">
        <v>24</v>
      </c>
      <c r="J26" s="3" t="s">
        <v>13</v>
      </c>
      <c r="K26" s="27">
        <f>H26/K25</f>
        <v>685.71428571428567</v>
      </c>
      <c r="L26" s="2" t="s">
        <v>14</v>
      </c>
      <c r="M26" s="33">
        <f>ABS((K26/C14)-1)</f>
        <v>0.14285714285714279</v>
      </c>
      <c r="N26" s="6" t="str">
        <f>IF(K26-$C$14&gt;0,"higher CO2 per trip.","lower CO2 per trip.")</f>
        <v>higher CO2 per trip.</v>
      </c>
      <c r="Q26" s="18"/>
    </row>
    <row r="27" spans="1:40" x14ac:dyDescent="0.3">
      <c r="A27" s="2"/>
      <c r="B27" s="2"/>
      <c r="C27" s="2"/>
      <c r="E27" s="13" t="s">
        <v>11</v>
      </c>
      <c r="F27" s="7">
        <v>0.3</v>
      </c>
      <c r="G27" s="5" t="s">
        <v>17</v>
      </c>
      <c r="H27" s="8">
        <f>(C13*(1-F27))</f>
        <v>1400</v>
      </c>
      <c r="I27" s="2" t="s">
        <v>25</v>
      </c>
      <c r="J27" s="3" t="s">
        <v>16</v>
      </c>
      <c r="K27" s="16">
        <f>F30/H27</f>
        <v>761.90476190476193</v>
      </c>
      <c r="L27" s="2" t="s">
        <v>30</v>
      </c>
      <c r="M27" s="17">
        <f>ABS((K27/C15)-1)</f>
        <v>0.52380952380952395</v>
      </c>
      <c r="N27" s="2" t="str">
        <f>IF($C$15&gt;K27,"lower airfares on average.","higher airfares on average.")</f>
        <v>higher airfares on average.</v>
      </c>
      <c r="Q27" s="18"/>
    </row>
    <row r="28" spans="1:40" x14ac:dyDescent="0.3">
      <c r="A28" s="2"/>
      <c r="B28" s="2"/>
      <c r="C28" s="2"/>
      <c r="E28" s="13" t="s">
        <v>10</v>
      </c>
      <c r="F28" s="28">
        <v>0.9</v>
      </c>
      <c r="G28" s="31" t="str">
        <f>IF(F28&gt;$C$11,"  This is higher than the baseline year's.","")</f>
        <v/>
      </c>
      <c r="H28" s="2"/>
      <c r="J28" s="20" t="s">
        <v>7</v>
      </c>
      <c r="K28" s="16">
        <f>K25*K27</f>
        <v>1066666.6666666667</v>
      </c>
      <c r="L28" s="2" t="s">
        <v>28</v>
      </c>
      <c r="M28" s="17">
        <f>ABS(((C10-K28)/C10))</f>
        <v>6.6666666666666749E-2</v>
      </c>
      <c r="N28" s="36" t="str">
        <f>IF($C$10&gt;K28,"less spend.","more spend.")</f>
        <v>more spend.</v>
      </c>
      <c r="O28" s="36"/>
      <c r="P28" s="36"/>
      <c r="Q28" s="37"/>
    </row>
    <row r="29" spans="1:40" s="2" customFormat="1" x14ac:dyDescent="0.3">
      <c r="E29" s="47" t="s">
        <v>43</v>
      </c>
      <c r="F29" s="27">
        <f>H26/H27</f>
        <v>685.71428571428567</v>
      </c>
      <c r="G29" s="31"/>
      <c r="J29" s="20" t="s">
        <v>8</v>
      </c>
      <c r="K29" s="27">
        <f>K25*K26</f>
        <v>959999.99999999988</v>
      </c>
      <c r="L29" s="2" t="s">
        <v>29</v>
      </c>
      <c r="M29" s="32">
        <f>ABS(F26)</f>
        <v>0.2</v>
      </c>
      <c r="N29" s="6" t="str">
        <f>IF($C$9&gt;K29,"lower total emissions.","higher total emissions.")</f>
        <v>lower total emissions.</v>
      </c>
      <c r="Q29" s="18"/>
    </row>
    <row r="30" spans="1:40" s="2" customFormat="1" x14ac:dyDescent="0.3">
      <c r="E30" s="47" t="s">
        <v>42</v>
      </c>
      <c r="F30" s="16">
        <f>H26/F28</f>
        <v>1066666.6666666667</v>
      </c>
      <c r="J30" s="54" t="s">
        <v>35</v>
      </c>
      <c r="K30" s="55">
        <f>F31</f>
        <v>137.14285714285714</v>
      </c>
      <c r="L30" s="49" t="s">
        <v>29</v>
      </c>
      <c r="M30" s="17">
        <f>ABS((C18-F31)/C18)</f>
        <v>0.19999999999999996</v>
      </c>
      <c r="N30" s="49" t="str">
        <f>IF(C18&gt;F31,"lower CO2 per employee.","higher CO2 per employee.")</f>
        <v>lower CO2 per employee.</v>
      </c>
      <c r="O30" s="49"/>
      <c r="P30" s="49"/>
      <c r="Q30" s="18"/>
    </row>
    <row r="31" spans="1:40" s="2" customFormat="1" x14ac:dyDescent="0.3">
      <c r="E31" s="48" t="s">
        <v>39</v>
      </c>
      <c r="F31" s="50">
        <f>H26/G7</f>
        <v>137.14285714285714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49"/>
    </row>
    <row r="32" spans="1:40" s="2" customFormat="1" x14ac:dyDescent="0.3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pans="2:13" s="2" customFormat="1" x14ac:dyDescent="0.3"/>
    <row r="146" spans="2:13" x14ac:dyDescent="0.3">
      <c r="B146" s="2"/>
      <c r="C146" s="2"/>
      <c r="E146" s="2"/>
      <c r="F146" s="2"/>
      <c r="G146" s="2"/>
      <c r="H146" s="2"/>
      <c r="K146" s="2"/>
      <c r="M146" s="2"/>
    </row>
    <row r="147" spans="2:13" x14ac:dyDescent="0.3">
      <c r="B147" s="2"/>
      <c r="C147" s="2"/>
      <c r="E147" s="2"/>
      <c r="F147" s="2"/>
      <c r="G147" s="2"/>
      <c r="H147" s="2"/>
      <c r="K147" s="2"/>
      <c r="M147" s="2"/>
    </row>
    <row r="148" spans="2:13" x14ac:dyDescent="0.3">
      <c r="E148" s="2"/>
      <c r="F148" s="2"/>
      <c r="G148" s="2"/>
      <c r="H148" s="2"/>
    </row>
    <row r="149" spans="2:13" x14ac:dyDescent="0.3">
      <c r="E149" s="2"/>
    </row>
  </sheetData>
  <mergeCells count="5">
    <mergeCell ref="B5:C5"/>
    <mergeCell ref="K5:M5"/>
    <mergeCell ref="N28:Q28"/>
    <mergeCell ref="N12:Q12"/>
    <mergeCell ref="N19:Q19"/>
  </mergeCells>
  <hyperlinks>
    <hyperlink ref="B24" r:id="rId1" xr:uid="{03D88D00-44E7-4F9B-9FA5-B56088FC93CD}"/>
    <hyperlink ref="B25" r:id="rId2" xr:uid="{70AD53E7-3B23-4486-AE7E-51136A6752BC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C8C7-0363-409E-853F-55E0888EFB30}">
  <dimension ref="A1:AN149"/>
  <sheetViews>
    <sheetView zoomScale="90" zoomScaleNormal="90" workbookViewId="0">
      <selection activeCell="E15" sqref="E15"/>
    </sheetView>
  </sheetViews>
  <sheetFormatPr defaultRowHeight="14.4" x14ac:dyDescent="0.3"/>
  <cols>
    <col min="1" max="1" width="2.44140625" customWidth="1"/>
    <col min="2" max="2" width="27" customWidth="1"/>
    <col min="3" max="3" width="15.6640625" customWidth="1"/>
    <col min="4" max="4" width="3.109375" style="2" customWidth="1"/>
    <col min="5" max="5" width="22.88671875" customWidth="1"/>
    <col min="6" max="6" width="16.33203125" customWidth="1"/>
    <col min="7" max="7" width="10.21875" customWidth="1"/>
    <col min="8" max="8" width="11.88671875" customWidth="1"/>
    <col min="9" max="9" width="14.6640625" style="2" customWidth="1"/>
    <col min="10" max="10" width="26.109375" style="2" customWidth="1"/>
    <col min="11" max="11" width="16.33203125" customWidth="1"/>
    <col min="12" max="12" width="15" style="2" customWidth="1"/>
    <col min="13" max="13" width="9.109375" customWidth="1"/>
    <col min="14" max="16" width="8.88671875" style="2"/>
    <col min="17" max="17" width="4.33203125" style="2" customWidth="1"/>
    <col min="18" max="32" width="8.88671875" style="2"/>
  </cols>
  <sheetData>
    <row r="1" spans="1:36" s="2" customFormat="1" ht="7.2" customHeight="1" x14ac:dyDescent="0.3"/>
    <row r="2" spans="1:36" s="2" customFormat="1" ht="23.4" x14ac:dyDescent="0.45">
      <c r="B2" s="34" t="s">
        <v>40</v>
      </c>
      <c r="E2" s="2" t="s">
        <v>18</v>
      </c>
    </row>
    <row r="3" spans="1:36" s="2" customFormat="1" x14ac:dyDescent="0.3">
      <c r="B3" s="2" t="s">
        <v>44</v>
      </c>
      <c r="E3" s="4" t="s">
        <v>21</v>
      </c>
      <c r="F3" s="4"/>
      <c r="H3" s="1" t="s">
        <v>22</v>
      </c>
      <c r="I3" s="1"/>
    </row>
    <row r="4" spans="1:36" s="2" customFormat="1" ht="7.2" customHeight="1" x14ac:dyDescent="0.3"/>
    <row r="5" spans="1:36" s="2" customFormat="1" x14ac:dyDescent="0.3">
      <c r="B5" s="35" t="s">
        <v>31</v>
      </c>
      <c r="C5" s="35"/>
      <c r="E5" s="10" t="s">
        <v>32</v>
      </c>
      <c r="K5" s="35" t="s">
        <v>15</v>
      </c>
      <c r="L5" s="35"/>
      <c r="M5" s="35"/>
    </row>
    <row r="6" spans="1:36" s="2" customFormat="1" ht="8.4" customHeight="1" x14ac:dyDescent="0.3"/>
    <row r="7" spans="1:36" ht="18" x14ac:dyDescent="0.35">
      <c r="A7" s="2"/>
      <c r="B7" s="59" t="s">
        <v>0</v>
      </c>
      <c r="C7" s="2"/>
      <c r="E7" s="59" t="s">
        <v>2</v>
      </c>
      <c r="F7" s="2"/>
      <c r="G7" s="56">
        <v>7000</v>
      </c>
      <c r="H7" s="2" t="s">
        <v>46</v>
      </c>
      <c r="K7" s="2"/>
      <c r="M7" s="2"/>
      <c r="AG7" s="2"/>
      <c r="AH7" s="2"/>
      <c r="AI7" s="2"/>
      <c r="AJ7" s="2"/>
    </row>
    <row r="8" spans="1:36" s="2" customFormat="1" x14ac:dyDescent="0.3"/>
    <row r="9" spans="1:36" ht="18" x14ac:dyDescent="0.35">
      <c r="A9" s="2"/>
      <c r="B9" s="38" t="s">
        <v>6</v>
      </c>
      <c r="C9" s="39">
        <v>1200000</v>
      </c>
      <c r="E9" s="60" t="s">
        <v>47</v>
      </c>
      <c r="F9" s="11"/>
      <c r="G9" s="11"/>
      <c r="H9" s="11"/>
      <c r="I9" s="11"/>
      <c r="J9" s="11"/>
      <c r="K9" s="23" t="s">
        <v>26</v>
      </c>
      <c r="L9" s="11"/>
      <c r="M9" s="23" t="s">
        <v>23</v>
      </c>
      <c r="N9" s="11"/>
      <c r="O9" s="11"/>
      <c r="P9" s="11"/>
      <c r="Q9" s="12"/>
    </row>
    <row r="10" spans="1:36" x14ac:dyDescent="0.3">
      <c r="A10" s="2"/>
      <c r="B10" s="40" t="s">
        <v>1</v>
      </c>
      <c r="C10" s="62">
        <v>1000000</v>
      </c>
      <c r="E10" s="24" t="s">
        <v>49</v>
      </c>
      <c r="F10" s="2"/>
      <c r="G10" s="2"/>
      <c r="H10" s="2"/>
      <c r="J10" s="3" t="s">
        <v>5</v>
      </c>
      <c r="K10" s="8">
        <f>(C9*(1-F11)/C14)</f>
        <v>1600</v>
      </c>
      <c r="L10" s="2" t="s">
        <v>27</v>
      </c>
      <c r="M10" s="25">
        <f>ABS(F11)</f>
        <v>0.2</v>
      </c>
      <c r="N10" s="2" t="str">
        <f>IF($C$13&gt;K10,"fewer trips.","more trips.")</f>
        <v>fewer trips.</v>
      </c>
      <c r="Q10" s="18"/>
    </row>
    <row r="11" spans="1:36" x14ac:dyDescent="0.3">
      <c r="A11" s="2"/>
      <c r="B11" s="47" t="s">
        <v>36</v>
      </c>
      <c r="C11" s="42">
        <f>C9/C10</f>
        <v>1.2</v>
      </c>
      <c r="E11" s="13" t="s">
        <v>4</v>
      </c>
      <c r="F11" s="14">
        <v>0.2</v>
      </c>
      <c r="G11" s="5" t="s">
        <v>17</v>
      </c>
      <c r="H11" s="8">
        <f>$C$9*(1-F11)</f>
        <v>960000</v>
      </c>
      <c r="I11" s="15" t="s">
        <v>24</v>
      </c>
      <c r="J11" s="3" t="s">
        <v>16</v>
      </c>
      <c r="K11" s="65">
        <f>F12/K10</f>
        <v>500</v>
      </c>
      <c r="L11" s="2" t="s">
        <v>28</v>
      </c>
      <c r="M11" s="17">
        <f>ABS((K11/C15)-1)</f>
        <v>0</v>
      </c>
      <c r="N11" s="2" t="str">
        <f>IF($C$15&gt;K11,"lower airfares on average.","higher airfares on average.")</f>
        <v>higher airfares on average.</v>
      </c>
      <c r="Q11" s="18"/>
    </row>
    <row r="12" spans="1:36" x14ac:dyDescent="0.3">
      <c r="A12" s="2"/>
      <c r="B12" s="40"/>
      <c r="C12" s="18"/>
      <c r="E12" s="13" t="s">
        <v>3</v>
      </c>
      <c r="F12" s="64">
        <v>800000</v>
      </c>
      <c r="G12" s="2"/>
      <c r="H12" s="2"/>
      <c r="J12" s="20" t="s">
        <v>7</v>
      </c>
      <c r="K12" s="65">
        <f>K10*K11</f>
        <v>800000</v>
      </c>
      <c r="L12" s="2" t="s">
        <v>28</v>
      </c>
      <c r="M12" s="17">
        <f>ABS((K12-$C$10)/$C$10)</f>
        <v>0.2</v>
      </c>
      <c r="N12" s="36" t="str">
        <f>IF($C$10&gt;K12,"less spend.","more spend.")</f>
        <v>less spend.</v>
      </c>
      <c r="O12" s="36"/>
      <c r="P12" s="36"/>
      <c r="Q12" s="37"/>
    </row>
    <row r="13" spans="1:36" x14ac:dyDescent="0.3">
      <c r="A13" s="2"/>
      <c r="B13" s="40" t="s">
        <v>9</v>
      </c>
      <c r="C13" s="43">
        <v>2000</v>
      </c>
      <c r="E13" s="47" t="s">
        <v>41</v>
      </c>
      <c r="F13" s="26">
        <f>H11/F12</f>
        <v>1.2</v>
      </c>
      <c r="G13" s="31" t="str">
        <f>IF(F13&gt;$C$11,"  This is higher than the baseline year's.","")</f>
        <v/>
      </c>
      <c r="H13" s="2"/>
      <c r="J13" s="20" t="s">
        <v>8</v>
      </c>
      <c r="K13" s="8">
        <f>K10*$C$14</f>
        <v>960000</v>
      </c>
      <c r="L13" s="2" t="s">
        <v>29</v>
      </c>
      <c r="M13" s="32">
        <f>ABS(F11)</f>
        <v>0.2</v>
      </c>
      <c r="N13" s="6" t="str">
        <f>IF($C$9&gt;K13,"lower total emissions.","higher total emissions.")</f>
        <v>lower total emissions.</v>
      </c>
      <c r="Q13" s="18"/>
    </row>
    <row r="14" spans="1:36" x14ac:dyDescent="0.3">
      <c r="A14" s="2"/>
      <c r="B14" s="47" t="s">
        <v>37</v>
      </c>
      <c r="C14" s="44">
        <f>C9/C13</f>
        <v>600</v>
      </c>
      <c r="E14" s="47" t="s">
        <v>39</v>
      </c>
      <c r="F14" s="8">
        <f>H11/G7</f>
        <v>137.14285714285714</v>
      </c>
      <c r="G14" s="2"/>
      <c r="H14" s="2"/>
      <c r="J14" s="3" t="s">
        <v>35</v>
      </c>
      <c r="K14" s="8">
        <f>F14</f>
        <v>137.14285714285714</v>
      </c>
      <c r="L14" s="2" t="s">
        <v>29</v>
      </c>
      <c r="M14" s="53">
        <f>ABS((C18-F14)/C18)</f>
        <v>0.19999999999999996</v>
      </c>
      <c r="N14" s="49" t="str">
        <f>IF(C18&gt;F14,"lower CO2 per employee.","higher CO2 per employee.")</f>
        <v>lower CO2 per employee.</v>
      </c>
      <c r="Q14" s="18"/>
    </row>
    <row r="15" spans="1:36" x14ac:dyDescent="0.3">
      <c r="A15" s="2"/>
      <c r="B15" s="47" t="s">
        <v>38</v>
      </c>
      <c r="C15" s="63">
        <f>C10/C13</f>
        <v>500</v>
      </c>
      <c r="E15" s="13"/>
      <c r="F15" s="2"/>
      <c r="G15" s="2"/>
      <c r="H15" s="2"/>
      <c r="K15" s="2"/>
      <c r="M15" s="2"/>
      <c r="Q15" s="18"/>
    </row>
    <row r="16" spans="1:36" ht="8.4" customHeight="1" x14ac:dyDescent="0.3">
      <c r="A16" s="2"/>
      <c r="B16" s="13"/>
      <c r="C16" s="18"/>
      <c r="E16" s="13"/>
      <c r="F16" s="2"/>
      <c r="G16" s="2"/>
      <c r="H16" s="2"/>
      <c r="K16" s="2"/>
      <c r="M16" s="2"/>
      <c r="Q16" s="18"/>
    </row>
    <row r="17" spans="1:40" x14ac:dyDescent="0.3">
      <c r="A17" s="2"/>
      <c r="B17" s="40" t="s">
        <v>34</v>
      </c>
      <c r="C17" s="43">
        <v>7000</v>
      </c>
      <c r="E17" s="24" t="s">
        <v>50</v>
      </c>
      <c r="F17" s="2"/>
      <c r="G17" s="2"/>
      <c r="H17" s="2"/>
      <c r="J17" s="3" t="s">
        <v>5</v>
      </c>
      <c r="K17" s="27">
        <f>(C9*(1-F18))/C14</f>
        <v>1600</v>
      </c>
      <c r="L17" s="2" t="s">
        <v>27</v>
      </c>
      <c r="M17" s="25">
        <f>ABS(F18)</f>
        <v>0.2</v>
      </c>
      <c r="N17" s="2" t="str">
        <f>IF($C$13&gt;K17,"fewer trips.","more trips.")</f>
        <v>fewer trips.</v>
      </c>
      <c r="Q17" s="18"/>
    </row>
    <row r="18" spans="1:40" x14ac:dyDescent="0.3">
      <c r="A18" s="2"/>
      <c r="B18" s="48" t="s">
        <v>39</v>
      </c>
      <c r="C18" s="46">
        <f>C9/C17</f>
        <v>171.42857142857142</v>
      </c>
      <c r="E18" s="13" t="s">
        <v>4</v>
      </c>
      <c r="F18" s="14">
        <v>0.2</v>
      </c>
      <c r="G18" s="5" t="s">
        <v>17</v>
      </c>
      <c r="H18" s="8">
        <f>$C$9*(1-F18)</f>
        <v>960000</v>
      </c>
      <c r="I18" s="15" t="s">
        <v>24</v>
      </c>
      <c r="J18" s="3" t="s">
        <v>16</v>
      </c>
      <c r="K18" s="65">
        <f>F20/K17</f>
        <v>545.4545454545455</v>
      </c>
      <c r="L18" s="2" t="s">
        <v>28</v>
      </c>
      <c r="M18" s="17">
        <f>ABS((K18/C15)-1)</f>
        <v>9.090909090909105E-2</v>
      </c>
      <c r="N18" s="2" t="str">
        <f>IF($C$15&gt;K18,"lower airfares on average.","higher airfares on average.")</f>
        <v>higher airfares on average.</v>
      </c>
      <c r="Q18" s="18"/>
    </row>
    <row r="19" spans="1:40" x14ac:dyDescent="0.3">
      <c r="A19" s="2"/>
      <c r="B19" s="2"/>
      <c r="C19" s="2"/>
      <c r="E19" s="13" t="s">
        <v>10</v>
      </c>
      <c r="F19" s="28">
        <v>1.1000000000000001</v>
      </c>
      <c r="G19" s="31" t="str">
        <f>IF(F19&gt;$C$11,"  This is higher than the baseline year's.","")</f>
        <v/>
      </c>
      <c r="H19" s="2"/>
      <c r="J19" s="20" t="s">
        <v>7</v>
      </c>
      <c r="K19" s="65">
        <f>K17*K18</f>
        <v>872727.27272727282</v>
      </c>
      <c r="L19" s="2" t="s">
        <v>28</v>
      </c>
      <c r="M19" s="17">
        <f>ABS((K19-$C$10)/$C$10)</f>
        <v>0.12727272727272718</v>
      </c>
      <c r="N19" s="36" t="str">
        <f>IF($C$10&gt;K19,"less spend.","more spend.")</f>
        <v>less spend.</v>
      </c>
      <c r="O19" s="36"/>
      <c r="P19" s="36"/>
      <c r="Q19" s="37"/>
    </row>
    <row r="20" spans="1:40" x14ac:dyDescent="0.3">
      <c r="A20" s="2"/>
      <c r="B20" s="4" t="s">
        <v>21</v>
      </c>
      <c r="C20" s="4"/>
      <c r="E20" s="47" t="s">
        <v>42</v>
      </c>
      <c r="F20" s="65">
        <f>H18/F19</f>
        <v>872727.27272727271</v>
      </c>
      <c r="G20" s="31"/>
      <c r="H20" s="2"/>
      <c r="J20" s="20" t="s">
        <v>8</v>
      </c>
      <c r="K20" s="27">
        <f>K17*$C$14</f>
        <v>960000</v>
      </c>
      <c r="L20" s="2" t="s">
        <v>29</v>
      </c>
      <c r="M20" s="32">
        <f>ABS(F18)</f>
        <v>0.2</v>
      </c>
      <c r="N20" s="6" t="str">
        <f>IF($C$9&gt;K20,"lower total emissions.","higher total emissions.")</f>
        <v>lower total emissions.</v>
      </c>
      <c r="Q20" s="18"/>
      <c r="AG20" s="2"/>
      <c r="AH20" s="2"/>
      <c r="AI20" s="2"/>
      <c r="AJ20" s="2"/>
      <c r="AK20" s="2"/>
      <c r="AL20" s="2"/>
      <c r="AM20" s="2"/>
      <c r="AN20" s="2"/>
    </row>
    <row r="21" spans="1:40" ht="16.8" customHeight="1" x14ac:dyDescent="0.3">
      <c r="A21" s="2"/>
      <c r="B21" s="1" t="s">
        <v>22</v>
      </c>
      <c r="C21" s="1"/>
      <c r="E21" s="48" t="s">
        <v>39</v>
      </c>
      <c r="F21" s="50">
        <f>H18/G7</f>
        <v>137.14285714285714</v>
      </c>
      <c r="G21" s="21"/>
      <c r="H21" s="21"/>
      <c r="I21" s="21"/>
      <c r="J21" s="57" t="s">
        <v>35</v>
      </c>
      <c r="K21" s="51">
        <f>F21</f>
        <v>137.14285714285714</v>
      </c>
      <c r="L21" s="21" t="s">
        <v>29</v>
      </c>
      <c r="M21" s="52">
        <f>ABS((C18-F21)/C18)</f>
        <v>0.19999999999999996</v>
      </c>
      <c r="N21" s="21" t="str">
        <f>IF(C18&gt;F21,"lower CO2 per employee.","higher CO2 per employee.")</f>
        <v>lower CO2 per employee.</v>
      </c>
      <c r="O21" s="21"/>
      <c r="P21" s="21"/>
      <c r="Q21" s="22"/>
      <c r="AG21" s="2"/>
      <c r="AH21" s="2"/>
      <c r="AI21" s="2"/>
      <c r="AJ21" s="2"/>
      <c r="AK21" s="2"/>
      <c r="AL21" s="2"/>
      <c r="AM21" s="2"/>
      <c r="AN21" s="2"/>
    </row>
    <row r="22" spans="1:40" x14ac:dyDescent="0.3">
      <c r="A22" s="2"/>
      <c r="B22" s="2"/>
      <c r="C22" s="2"/>
      <c r="E22" s="2"/>
      <c r="F22" s="2"/>
      <c r="G22" s="49"/>
      <c r="H22" s="49"/>
      <c r="I22" s="49"/>
      <c r="J22" s="49"/>
      <c r="K22" s="58"/>
      <c r="L22" s="49"/>
      <c r="M22" s="58"/>
      <c r="N22" s="49"/>
      <c r="O22" s="49"/>
      <c r="P22" s="49"/>
      <c r="Q22" s="49"/>
      <c r="R22" s="49"/>
      <c r="AG22" s="2"/>
      <c r="AH22" s="2"/>
      <c r="AI22" s="2"/>
      <c r="AJ22" s="2"/>
      <c r="AK22" s="2"/>
      <c r="AL22" s="2"/>
      <c r="AM22" s="2"/>
      <c r="AN22" s="2"/>
    </row>
    <row r="23" spans="1:40" x14ac:dyDescent="0.3">
      <c r="A23" s="2"/>
      <c r="B23" s="2" t="s">
        <v>19</v>
      </c>
      <c r="C23" s="2"/>
      <c r="E23" s="2"/>
      <c r="F23" s="2"/>
      <c r="G23" s="2"/>
      <c r="H23" s="2"/>
      <c r="K23" s="9"/>
      <c r="M23" s="2"/>
    </row>
    <row r="24" spans="1:40" ht="18" x14ac:dyDescent="0.35">
      <c r="A24" s="2"/>
      <c r="B24" s="30" t="s">
        <v>20</v>
      </c>
      <c r="C24" s="2"/>
      <c r="E24" s="61" t="s">
        <v>48</v>
      </c>
      <c r="F24" s="11"/>
      <c r="G24" s="11"/>
      <c r="H24" s="11"/>
      <c r="I24" s="11"/>
      <c r="J24" s="29"/>
      <c r="K24" s="23" t="s">
        <v>26</v>
      </c>
      <c r="L24" s="11"/>
      <c r="M24" s="23" t="s">
        <v>23</v>
      </c>
      <c r="N24" s="11"/>
      <c r="O24" s="11"/>
      <c r="P24" s="11"/>
      <c r="Q24" s="12"/>
    </row>
    <row r="25" spans="1:40" x14ac:dyDescent="0.3">
      <c r="A25" s="2"/>
      <c r="B25" s="30" t="s">
        <v>33</v>
      </c>
      <c r="C25" s="2"/>
      <c r="E25" s="24" t="s">
        <v>45</v>
      </c>
      <c r="G25" s="2"/>
      <c r="J25" s="3" t="s">
        <v>12</v>
      </c>
      <c r="K25" s="27">
        <f>H27</f>
        <v>1400</v>
      </c>
      <c r="L25" s="2" t="s">
        <v>27</v>
      </c>
      <c r="M25" s="25">
        <f>ABS(F27)</f>
        <v>0.3</v>
      </c>
      <c r="N25" s="2" t="str">
        <f>IF($C$13&gt;K25,"fewer trips.","more trips.")</f>
        <v>fewer trips.</v>
      </c>
      <c r="Q25" s="18"/>
    </row>
    <row r="26" spans="1:40" x14ac:dyDescent="0.3">
      <c r="A26" s="2"/>
      <c r="B26" s="2"/>
      <c r="C26" s="2"/>
      <c r="E26" s="13" t="s">
        <v>4</v>
      </c>
      <c r="F26" s="14">
        <v>0.2</v>
      </c>
      <c r="G26" s="5" t="s">
        <v>17</v>
      </c>
      <c r="H26" s="8">
        <f>$C$9*(1-F26)</f>
        <v>960000</v>
      </c>
      <c r="I26" s="15" t="s">
        <v>24</v>
      </c>
      <c r="J26" s="3" t="s">
        <v>13</v>
      </c>
      <c r="K26" s="27">
        <f>H26/K25</f>
        <v>685.71428571428567</v>
      </c>
      <c r="L26" s="2" t="s">
        <v>14</v>
      </c>
      <c r="M26" s="33">
        <f>ABS((K26/C14)-1)</f>
        <v>0.14285714285714279</v>
      </c>
      <c r="N26" s="6" t="str">
        <f>IF(K26-$C$14&gt;0,"higher CO2 per trip.","lower CO2 per trip.")</f>
        <v>higher CO2 per trip.</v>
      </c>
      <c r="Q26" s="18"/>
    </row>
    <row r="27" spans="1:40" x14ac:dyDescent="0.3">
      <c r="A27" s="2"/>
      <c r="B27" s="2"/>
      <c r="C27" s="2"/>
      <c r="E27" s="13" t="s">
        <v>11</v>
      </c>
      <c r="F27" s="7">
        <v>0.3</v>
      </c>
      <c r="G27" s="5" t="s">
        <v>17</v>
      </c>
      <c r="H27" s="8">
        <f>(C13*(1-F27))</f>
        <v>1400</v>
      </c>
      <c r="I27" s="2" t="s">
        <v>25</v>
      </c>
      <c r="J27" s="3" t="s">
        <v>16</v>
      </c>
      <c r="K27" s="65">
        <f>F30/H27</f>
        <v>761.90476190476193</v>
      </c>
      <c r="L27" s="2" t="s">
        <v>30</v>
      </c>
      <c r="M27" s="17">
        <f>ABS((K27/C15)-1)</f>
        <v>0.52380952380952395</v>
      </c>
      <c r="N27" s="2" t="str">
        <f>IF($C$15&gt;K27,"lower airfares on average.","higher airfares on average.")</f>
        <v>higher airfares on average.</v>
      </c>
      <c r="Q27" s="18"/>
    </row>
    <row r="28" spans="1:40" x14ac:dyDescent="0.3">
      <c r="A28" s="2"/>
      <c r="B28" s="2"/>
      <c r="C28" s="2"/>
      <c r="E28" s="13" t="s">
        <v>10</v>
      </c>
      <c r="F28" s="28">
        <v>0.9</v>
      </c>
      <c r="G28" s="31" t="str">
        <f>IF(F28&gt;$C$11,"  This is higher than the baseline year's.","")</f>
        <v/>
      </c>
      <c r="H28" s="2"/>
      <c r="J28" s="20" t="s">
        <v>7</v>
      </c>
      <c r="K28" s="65">
        <f>K25*K27</f>
        <v>1066666.6666666667</v>
      </c>
      <c r="L28" s="2" t="s">
        <v>28</v>
      </c>
      <c r="M28" s="17">
        <f>ABS(((C10-K28)/C10))</f>
        <v>6.6666666666666749E-2</v>
      </c>
      <c r="N28" s="36" t="str">
        <f>IF($C$10&gt;K28,"less spend.","more spend.")</f>
        <v>more spend.</v>
      </c>
      <c r="O28" s="36"/>
      <c r="P28" s="36"/>
      <c r="Q28" s="37"/>
    </row>
    <row r="29" spans="1:40" s="2" customFormat="1" x14ac:dyDescent="0.3">
      <c r="E29" s="47" t="s">
        <v>43</v>
      </c>
      <c r="F29" s="27">
        <f>H26/H27</f>
        <v>685.71428571428567</v>
      </c>
      <c r="G29" s="31"/>
      <c r="J29" s="20" t="s">
        <v>8</v>
      </c>
      <c r="K29" s="27">
        <f>K25*K26</f>
        <v>959999.99999999988</v>
      </c>
      <c r="L29" s="2" t="s">
        <v>29</v>
      </c>
      <c r="M29" s="32">
        <f>ABS(F26)</f>
        <v>0.2</v>
      </c>
      <c r="N29" s="6" t="str">
        <f>IF($C$9&gt;K29,"lower total emissions.","higher total emissions.")</f>
        <v>lower total emissions.</v>
      </c>
      <c r="Q29" s="18"/>
    </row>
    <row r="30" spans="1:40" s="2" customFormat="1" x14ac:dyDescent="0.3">
      <c r="E30" s="47" t="s">
        <v>42</v>
      </c>
      <c r="F30" s="65">
        <f>H26/F28</f>
        <v>1066666.6666666667</v>
      </c>
      <c r="J30" s="54" t="s">
        <v>35</v>
      </c>
      <c r="K30" s="55">
        <f>F31</f>
        <v>137.14285714285714</v>
      </c>
      <c r="L30" s="49" t="s">
        <v>29</v>
      </c>
      <c r="M30" s="17">
        <f>ABS((C18-F31)/C18)</f>
        <v>0.19999999999999996</v>
      </c>
      <c r="N30" s="49" t="str">
        <f>IF(C18&gt;F31,"lower CO2 per employee.","higher CO2 per employee.")</f>
        <v>lower CO2 per employee.</v>
      </c>
      <c r="O30" s="49"/>
      <c r="P30" s="49"/>
      <c r="Q30" s="18"/>
    </row>
    <row r="31" spans="1:40" s="2" customFormat="1" x14ac:dyDescent="0.3">
      <c r="E31" s="48" t="s">
        <v>39</v>
      </c>
      <c r="F31" s="50">
        <f>H26/G7</f>
        <v>137.14285714285714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49"/>
    </row>
    <row r="32" spans="1:40" s="2" customFormat="1" x14ac:dyDescent="0.3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pans="2:13" s="2" customFormat="1" x14ac:dyDescent="0.3"/>
    <row r="146" spans="2:13" x14ac:dyDescent="0.3">
      <c r="B146" s="2"/>
      <c r="C146" s="2"/>
      <c r="E146" s="2"/>
      <c r="F146" s="2"/>
      <c r="G146" s="2"/>
      <c r="H146" s="2"/>
      <c r="K146" s="2"/>
      <c r="M146" s="2"/>
    </row>
    <row r="147" spans="2:13" x14ac:dyDescent="0.3">
      <c r="B147" s="2"/>
      <c r="C147" s="2"/>
      <c r="E147" s="2"/>
      <c r="F147" s="2"/>
      <c r="G147" s="2"/>
      <c r="H147" s="2"/>
      <c r="K147" s="2"/>
      <c r="M147" s="2"/>
    </row>
    <row r="148" spans="2:13" x14ac:dyDescent="0.3">
      <c r="E148" s="2"/>
      <c r="F148" s="2"/>
      <c r="G148" s="2"/>
      <c r="H148" s="2"/>
    </row>
    <row r="149" spans="2:13" x14ac:dyDescent="0.3">
      <c r="E149" s="2"/>
    </row>
  </sheetData>
  <mergeCells count="5">
    <mergeCell ref="B5:C5"/>
    <mergeCell ref="K5:M5"/>
    <mergeCell ref="N12:Q12"/>
    <mergeCell ref="N19:Q19"/>
    <mergeCell ref="N28:Q28"/>
  </mergeCells>
  <hyperlinks>
    <hyperlink ref="B24" r:id="rId1" xr:uid="{524B892F-3AFF-4A52-A039-1549BBB17D4E}"/>
    <hyperlink ref="B25" r:id="rId2" xr:uid="{4E83B59F-59AF-44E7-8735-883E6CB5CF8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C377-DFA3-483E-9F4E-67B511ABB8BB}">
  <dimension ref="A1:AN149"/>
  <sheetViews>
    <sheetView zoomScale="90" zoomScaleNormal="90" workbookViewId="0">
      <selection activeCell="E15" sqref="E15"/>
    </sheetView>
  </sheetViews>
  <sheetFormatPr defaultRowHeight="14.4" x14ac:dyDescent="0.3"/>
  <cols>
    <col min="1" max="1" width="2.44140625" customWidth="1"/>
    <col min="2" max="2" width="27" customWidth="1"/>
    <col min="3" max="3" width="15.6640625" customWidth="1"/>
    <col min="4" max="4" width="3.109375" style="2" customWidth="1"/>
    <col min="5" max="5" width="22.88671875" customWidth="1"/>
    <col min="6" max="6" width="16.33203125" customWidth="1"/>
    <col min="7" max="7" width="10.21875" customWidth="1"/>
    <col min="8" max="8" width="11.88671875" customWidth="1"/>
    <col min="9" max="9" width="14.6640625" style="2" customWidth="1"/>
    <col min="10" max="10" width="26.109375" style="2" customWidth="1"/>
    <col min="11" max="11" width="16.33203125" customWidth="1"/>
    <col min="12" max="12" width="15" style="2" customWidth="1"/>
    <col min="13" max="13" width="9.109375" customWidth="1"/>
    <col min="14" max="16" width="8.88671875" style="2"/>
    <col min="17" max="17" width="4.33203125" style="2" customWidth="1"/>
    <col min="18" max="32" width="8.88671875" style="2"/>
  </cols>
  <sheetData>
    <row r="1" spans="1:36" s="2" customFormat="1" ht="7.2" customHeight="1" x14ac:dyDescent="0.3"/>
    <row r="2" spans="1:36" s="2" customFormat="1" ht="23.4" x14ac:dyDescent="0.45">
      <c r="B2" s="34" t="s">
        <v>40</v>
      </c>
      <c r="E2" s="2" t="s">
        <v>18</v>
      </c>
    </row>
    <row r="3" spans="1:36" s="2" customFormat="1" x14ac:dyDescent="0.3">
      <c r="B3" s="2" t="s">
        <v>44</v>
      </c>
      <c r="E3" s="4" t="s">
        <v>21</v>
      </c>
      <c r="F3" s="4"/>
      <c r="H3" s="1" t="s">
        <v>22</v>
      </c>
      <c r="I3" s="1"/>
    </row>
    <row r="4" spans="1:36" s="2" customFormat="1" ht="7.2" customHeight="1" x14ac:dyDescent="0.3"/>
    <row r="5" spans="1:36" s="2" customFormat="1" x14ac:dyDescent="0.3">
      <c r="B5" s="35" t="s">
        <v>31</v>
      </c>
      <c r="C5" s="35"/>
      <c r="E5" s="10" t="s">
        <v>32</v>
      </c>
      <c r="K5" s="35" t="s">
        <v>15</v>
      </c>
      <c r="L5" s="35"/>
      <c r="M5" s="35"/>
    </row>
    <row r="6" spans="1:36" s="2" customFormat="1" ht="8.4" customHeight="1" x14ac:dyDescent="0.3"/>
    <row r="7" spans="1:36" ht="18" x14ac:dyDescent="0.35">
      <c r="A7" s="2"/>
      <c r="B7" s="59" t="s">
        <v>0</v>
      </c>
      <c r="C7" s="2"/>
      <c r="E7" s="59" t="s">
        <v>2</v>
      </c>
      <c r="F7" s="2"/>
      <c r="G7" s="56">
        <v>7000</v>
      </c>
      <c r="H7" s="2" t="s">
        <v>46</v>
      </c>
      <c r="K7" s="2"/>
      <c r="M7" s="2"/>
      <c r="AG7" s="2"/>
      <c r="AH7" s="2"/>
      <c r="AI7" s="2"/>
      <c r="AJ7" s="2"/>
    </row>
    <row r="8" spans="1:36" s="2" customFormat="1" x14ac:dyDescent="0.3"/>
    <row r="9" spans="1:36" ht="18" x14ac:dyDescent="0.35">
      <c r="A9" s="2"/>
      <c r="B9" s="38" t="s">
        <v>6</v>
      </c>
      <c r="C9" s="39">
        <v>1200000</v>
      </c>
      <c r="E9" s="60" t="s">
        <v>47</v>
      </c>
      <c r="F9" s="11"/>
      <c r="G9" s="11"/>
      <c r="H9" s="11"/>
      <c r="I9" s="11"/>
      <c r="J9" s="11"/>
      <c r="K9" s="23" t="s">
        <v>26</v>
      </c>
      <c r="L9" s="11"/>
      <c r="M9" s="23" t="s">
        <v>23</v>
      </c>
      <c r="N9" s="11"/>
      <c r="O9" s="11"/>
      <c r="P9" s="11"/>
      <c r="Q9" s="12"/>
    </row>
    <row r="10" spans="1:36" x14ac:dyDescent="0.3">
      <c r="A10" s="2"/>
      <c r="B10" s="40" t="s">
        <v>1</v>
      </c>
      <c r="C10" s="66">
        <v>1000000</v>
      </c>
      <c r="E10" s="24" t="s">
        <v>49</v>
      </c>
      <c r="F10" s="2"/>
      <c r="G10" s="2"/>
      <c r="H10" s="2"/>
      <c r="J10" s="3" t="s">
        <v>5</v>
      </c>
      <c r="K10" s="8">
        <f>(C9*(1-F11)/C14)</f>
        <v>1600</v>
      </c>
      <c r="L10" s="2" t="s">
        <v>27</v>
      </c>
      <c r="M10" s="25">
        <f>ABS(F11)</f>
        <v>0.2</v>
      </c>
      <c r="N10" s="2" t="str">
        <f>IF($C$13&gt;K10,"fewer trips.","more trips.")</f>
        <v>fewer trips.</v>
      </c>
      <c r="Q10" s="18"/>
    </row>
    <row r="11" spans="1:36" x14ac:dyDescent="0.3">
      <c r="A11" s="2"/>
      <c r="B11" s="47" t="s">
        <v>36</v>
      </c>
      <c r="C11" s="42">
        <f>C9/C10</f>
        <v>1.2</v>
      </c>
      <c r="E11" s="13" t="s">
        <v>4</v>
      </c>
      <c r="F11" s="14">
        <v>0.2</v>
      </c>
      <c r="G11" s="5" t="s">
        <v>17</v>
      </c>
      <c r="H11" s="8">
        <f>$C$9*(1-F11)</f>
        <v>960000</v>
      </c>
      <c r="I11" s="15" t="s">
        <v>24</v>
      </c>
      <c r="J11" s="3" t="s">
        <v>16</v>
      </c>
      <c r="K11" s="69">
        <f>F12/K10</f>
        <v>500</v>
      </c>
      <c r="L11" s="2" t="s">
        <v>28</v>
      </c>
      <c r="M11" s="17">
        <f>ABS((K11/C15)-1)</f>
        <v>0</v>
      </c>
      <c r="N11" s="2" t="str">
        <f>IF($C$15&gt;K11,"lower airfares on average.","higher airfares on average.")</f>
        <v>higher airfares on average.</v>
      </c>
      <c r="Q11" s="18"/>
    </row>
    <row r="12" spans="1:36" x14ac:dyDescent="0.3">
      <c r="A12" s="2"/>
      <c r="B12" s="40"/>
      <c r="C12" s="18"/>
      <c r="E12" s="13" t="s">
        <v>3</v>
      </c>
      <c r="F12" s="68">
        <v>800000</v>
      </c>
      <c r="G12" s="2"/>
      <c r="H12" s="2"/>
      <c r="J12" s="20" t="s">
        <v>7</v>
      </c>
      <c r="K12" s="69">
        <f>K10*K11</f>
        <v>800000</v>
      </c>
      <c r="L12" s="2" t="s">
        <v>28</v>
      </c>
      <c r="M12" s="17">
        <f>ABS((K12-$C$10)/$C$10)</f>
        <v>0.2</v>
      </c>
      <c r="N12" s="36" t="str">
        <f>IF($C$10&gt;K12,"less spend.","more spend.")</f>
        <v>less spend.</v>
      </c>
      <c r="O12" s="36"/>
      <c r="P12" s="36"/>
      <c r="Q12" s="37"/>
    </row>
    <row r="13" spans="1:36" x14ac:dyDescent="0.3">
      <c r="A13" s="2"/>
      <c r="B13" s="40" t="s">
        <v>9</v>
      </c>
      <c r="C13" s="43">
        <v>2000</v>
      </c>
      <c r="E13" s="47" t="s">
        <v>41</v>
      </c>
      <c r="F13" s="26">
        <f>H11/F12</f>
        <v>1.2</v>
      </c>
      <c r="G13" s="31" t="str">
        <f>IF(F13&gt;$C$11,"  This is higher than the baseline year's.","")</f>
        <v/>
      </c>
      <c r="H13" s="2"/>
      <c r="J13" s="20" t="s">
        <v>8</v>
      </c>
      <c r="K13" s="8">
        <f>K10*$C$14</f>
        <v>960000</v>
      </c>
      <c r="L13" s="2" t="s">
        <v>29</v>
      </c>
      <c r="M13" s="32">
        <f>ABS(F11)</f>
        <v>0.2</v>
      </c>
      <c r="N13" s="6" t="str">
        <f>IF($C$9&gt;K13,"lower total emissions.","higher total emissions.")</f>
        <v>lower total emissions.</v>
      </c>
      <c r="Q13" s="18"/>
    </row>
    <row r="14" spans="1:36" x14ac:dyDescent="0.3">
      <c r="A14" s="2"/>
      <c r="B14" s="47" t="s">
        <v>37</v>
      </c>
      <c r="C14" s="44">
        <f>C9/C13</f>
        <v>600</v>
      </c>
      <c r="E14" s="47" t="s">
        <v>39</v>
      </c>
      <c r="F14" s="8">
        <f>H11/G7</f>
        <v>137.14285714285714</v>
      </c>
      <c r="G14" s="2"/>
      <c r="H14" s="2"/>
      <c r="J14" s="3" t="s">
        <v>35</v>
      </c>
      <c r="K14" s="8">
        <f>F14</f>
        <v>137.14285714285714</v>
      </c>
      <c r="L14" s="2" t="s">
        <v>29</v>
      </c>
      <c r="M14" s="53">
        <f>ABS((C18-F14)/C18)</f>
        <v>0.19999999999999996</v>
      </c>
      <c r="N14" s="49" t="str">
        <f>IF(C18&gt;F14,"lower CO2 per employee.","higher CO2 per employee.")</f>
        <v>lower CO2 per employee.</v>
      </c>
      <c r="Q14" s="18"/>
    </row>
    <row r="15" spans="1:36" x14ac:dyDescent="0.3">
      <c r="A15" s="2"/>
      <c r="B15" s="47" t="s">
        <v>38</v>
      </c>
      <c r="C15" s="67">
        <f>C10/C13</f>
        <v>500</v>
      </c>
      <c r="E15" s="13"/>
      <c r="F15" s="2"/>
      <c r="G15" s="2"/>
      <c r="H15" s="2"/>
      <c r="K15" s="2"/>
      <c r="M15" s="2"/>
      <c r="Q15" s="18"/>
    </row>
    <row r="16" spans="1:36" ht="8.4" customHeight="1" x14ac:dyDescent="0.3">
      <c r="A16" s="2"/>
      <c r="B16" s="13"/>
      <c r="C16" s="18"/>
      <c r="E16" s="13"/>
      <c r="F16" s="2"/>
      <c r="G16" s="2"/>
      <c r="H16" s="2"/>
      <c r="K16" s="2"/>
      <c r="M16" s="2"/>
      <c r="Q16" s="18"/>
    </row>
    <row r="17" spans="1:40" x14ac:dyDescent="0.3">
      <c r="A17" s="2"/>
      <c r="B17" s="40" t="s">
        <v>34</v>
      </c>
      <c r="C17" s="43">
        <v>7000</v>
      </c>
      <c r="E17" s="24" t="s">
        <v>50</v>
      </c>
      <c r="F17" s="2"/>
      <c r="G17" s="2"/>
      <c r="H17" s="2"/>
      <c r="J17" s="3" t="s">
        <v>5</v>
      </c>
      <c r="K17" s="27">
        <f>(C9*(1-F18))/C14</f>
        <v>1600</v>
      </c>
      <c r="L17" s="2" t="s">
        <v>27</v>
      </c>
      <c r="M17" s="25">
        <f>ABS(F18)</f>
        <v>0.2</v>
      </c>
      <c r="N17" s="2" t="str">
        <f>IF($C$13&gt;K17,"fewer trips.","more trips.")</f>
        <v>fewer trips.</v>
      </c>
      <c r="Q17" s="18"/>
    </row>
    <row r="18" spans="1:40" x14ac:dyDescent="0.3">
      <c r="A18" s="2"/>
      <c r="B18" s="48" t="s">
        <v>39</v>
      </c>
      <c r="C18" s="46">
        <f>C9/C17</f>
        <v>171.42857142857142</v>
      </c>
      <c r="E18" s="13" t="s">
        <v>4</v>
      </c>
      <c r="F18" s="14">
        <v>0.2</v>
      </c>
      <c r="G18" s="5" t="s">
        <v>17</v>
      </c>
      <c r="H18" s="8">
        <f>$C$9*(1-F18)</f>
        <v>960000</v>
      </c>
      <c r="I18" s="15" t="s">
        <v>24</v>
      </c>
      <c r="J18" s="3" t="s">
        <v>16</v>
      </c>
      <c r="K18" s="69">
        <f>F20/K17</f>
        <v>545.4545454545455</v>
      </c>
      <c r="L18" s="2" t="s">
        <v>28</v>
      </c>
      <c r="M18" s="17">
        <f>ABS((K18/C15)-1)</f>
        <v>9.090909090909105E-2</v>
      </c>
      <c r="N18" s="2" t="str">
        <f>IF($C$15&gt;K18,"lower airfares on average.","higher airfares on average.")</f>
        <v>higher airfares on average.</v>
      </c>
      <c r="Q18" s="18"/>
    </row>
    <row r="19" spans="1:40" x14ac:dyDescent="0.3">
      <c r="A19" s="2"/>
      <c r="B19" s="2"/>
      <c r="C19" s="2"/>
      <c r="E19" s="13" t="s">
        <v>10</v>
      </c>
      <c r="F19" s="28">
        <v>1.1000000000000001</v>
      </c>
      <c r="G19" s="31" t="str">
        <f>IF(F19&gt;$C$11,"  This is higher than the baseline year's.","")</f>
        <v/>
      </c>
      <c r="H19" s="2"/>
      <c r="J19" s="20" t="s">
        <v>7</v>
      </c>
      <c r="K19" s="69">
        <f>K17*K18</f>
        <v>872727.27272727282</v>
      </c>
      <c r="L19" s="2" t="s">
        <v>28</v>
      </c>
      <c r="M19" s="17">
        <f>ABS((K19-$C$10)/$C$10)</f>
        <v>0.12727272727272718</v>
      </c>
      <c r="N19" s="36" t="str">
        <f>IF($C$10&gt;K19,"less spend.","more spend.")</f>
        <v>less spend.</v>
      </c>
      <c r="O19" s="36"/>
      <c r="P19" s="36"/>
      <c r="Q19" s="37"/>
    </row>
    <row r="20" spans="1:40" x14ac:dyDescent="0.3">
      <c r="A20" s="2"/>
      <c r="B20" s="4" t="s">
        <v>21</v>
      </c>
      <c r="C20" s="4"/>
      <c r="E20" s="47" t="s">
        <v>42</v>
      </c>
      <c r="F20" s="69">
        <f>H18/F19</f>
        <v>872727.27272727271</v>
      </c>
      <c r="G20" s="31"/>
      <c r="H20" s="2"/>
      <c r="J20" s="20" t="s">
        <v>8</v>
      </c>
      <c r="K20" s="27">
        <f>K17*$C$14</f>
        <v>960000</v>
      </c>
      <c r="L20" s="2" t="s">
        <v>29</v>
      </c>
      <c r="M20" s="32">
        <f>ABS(F18)</f>
        <v>0.2</v>
      </c>
      <c r="N20" s="6" t="str">
        <f>IF($C$9&gt;K20,"lower total emissions.","higher total emissions.")</f>
        <v>lower total emissions.</v>
      </c>
      <c r="Q20" s="18"/>
      <c r="AG20" s="2"/>
      <c r="AH20" s="2"/>
      <c r="AI20" s="2"/>
      <c r="AJ20" s="2"/>
      <c r="AK20" s="2"/>
      <c r="AL20" s="2"/>
      <c r="AM20" s="2"/>
      <c r="AN20" s="2"/>
    </row>
    <row r="21" spans="1:40" ht="16.8" customHeight="1" x14ac:dyDescent="0.3">
      <c r="A21" s="2"/>
      <c r="B21" s="1" t="s">
        <v>22</v>
      </c>
      <c r="C21" s="1"/>
      <c r="E21" s="48" t="s">
        <v>39</v>
      </c>
      <c r="F21" s="50">
        <f>H18/G7</f>
        <v>137.14285714285714</v>
      </c>
      <c r="G21" s="21"/>
      <c r="H21" s="21"/>
      <c r="I21" s="21"/>
      <c r="J21" s="57" t="s">
        <v>35</v>
      </c>
      <c r="K21" s="51">
        <f>F21</f>
        <v>137.14285714285714</v>
      </c>
      <c r="L21" s="21" t="s">
        <v>29</v>
      </c>
      <c r="M21" s="52">
        <f>ABS((C18-F21)/C18)</f>
        <v>0.19999999999999996</v>
      </c>
      <c r="N21" s="21" t="str">
        <f>IF(C18&gt;F21,"lower CO2 per employee.","higher CO2 per employee.")</f>
        <v>lower CO2 per employee.</v>
      </c>
      <c r="O21" s="21"/>
      <c r="P21" s="21"/>
      <c r="Q21" s="22"/>
      <c r="AG21" s="2"/>
      <c r="AH21" s="2"/>
      <c r="AI21" s="2"/>
      <c r="AJ21" s="2"/>
      <c r="AK21" s="2"/>
      <c r="AL21" s="2"/>
      <c r="AM21" s="2"/>
      <c r="AN21" s="2"/>
    </row>
    <row r="22" spans="1:40" x14ac:dyDescent="0.3">
      <c r="A22" s="2"/>
      <c r="B22" s="2"/>
      <c r="C22" s="2"/>
      <c r="E22" s="2"/>
      <c r="F22" s="2"/>
      <c r="G22" s="49"/>
      <c r="H22" s="49"/>
      <c r="I22" s="49"/>
      <c r="J22" s="49"/>
      <c r="K22" s="58"/>
      <c r="L22" s="49"/>
      <c r="M22" s="58"/>
      <c r="N22" s="49"/>
      <c r="O22" s="49"/>
      <c r="P22" s="49"/>
      <c r="Q22" s="49"/>
      <c r="R22" s="49"/>
      <c r="AG22" s="2"/>
      <c r="AH22" s="2"/>
      <c r="AI22" s="2"/>
      <c r="AJ22" s="2"/>
      <c r="AK22" s="2"/>
      <c r="AL22" s="2"/>
      <c r="AM22" s="2"/>
      <c r="AN22" s="2"/>
    </row>
    <row r="23" spans="1:40" x14ac:dyDescent="0.3">
      <c r="A23" s="2"/>
      <c r="B23" s="2" t="s">
        <v>19</v>
      </c>
      <c r="C23" s="2"/>
      <c r="E23" s="2"/>
      <c r="F23" s="2"/>
      <c r="G23" s="2"/>
      <c r="H23" s="2"/>
      <c r="K23" s="9"/>
      <c r="M23" s="2"/>
    </row>
    <row r="24" spans="1:40" ht="18" x14ac:dyDescent="0.35">
      <c r="A24" s="2"/>
      <c r="B24" s="30" t="s">
        <v>20</v>
      </c>
      <c r="C24" s="2"/>
      <c r="E24" s="61" t="s">
        <v>48</v>
      </c>
      <c r="F24" s="11"/>
      <c r="G24" s="11"/>
      <c r="H24" s="11"/>
      <c r="I24" s="11"/>
      <c r="J24" s="29"/>
      <c r="K24" s="23" t="s">
        <v>26</v>
      </c>
      <c r="L24" s="11"/>
      <c r="M24" s="23" t="s">
        <v>23</v>
      </c>
      <c r="N24" s="11"/>
      <c r="O24" s="11"/>
      <c r="P24" s="11"/>
      <c r="Q24" s="12"/>
    </row>
    <row r="25" spans="1:40" x14ac:dyDescent="0.3">
      <c r="A25" s="2"/>
      <c r="B25" s="30" t="s">
        <v>33</v>
      </c>
      <c r="C25" s="2"/>
      <c r="E25" s="24" t="s">
        <v>45</v>
      </c>
      <c r="G25" s="2"/>
      <c r="J25" s="3" t="s">
        <v>12</v>
      </c>
      <c r="K25" s="27">
        <f>H27</f>
        <v>1400</v>
      </c>
      <c r="L25" s="2" t="s">
        <v>27</v>
      </c>
      <c r="M25" s="25">
        <f>ABS(F27)</f>
        <v>0.3</v>
      </c>
      <c r="N25" s="2" t="str">
        <f>IF($C$13&gt;K25,"fewer trips.","more trips.")</f>
        <v>fewer trips.</v>
      </c>
      <c r="Q25" s="18"/>
    </row>
    <row r="26" spans="1:40" x14ac:dyDescent="0.3">
      <c r="A26" s="2"/>
      <c r="B26" s="2"/>
      <c r="C26" s="2"/>
      <c r="E26" s="13" t="s">
        <v>4</v>
      </c>
      <c r="F26" s="14">
        <v>0.2</v>
      </c>
      <c r="G26" s="5" t="s">
        <v>17</v>
      </c>
      <c r="H26" s="8">
        <f>$C$9*(1-F26)</f>
        <v>960000</v>
      </c>
      <c r="I26" s="15" t="s">
        <v>24</v>
      </c>
      <c r="J26" s="3" t="s">
        <v>13</v>
      </c>
      <c r="K26" s="27">
        <f>H26/K25</f>
        <v>685.71428571428567</v>
      </c>
      <c r="L26" s="2" t="s">
        <v>14</v>
      </c>
      <c r="M26" s="33">
        <f>ABS((K26/C14)-1)</f>
        <v>0.14285714285714279</v>
      </c>
      <c r="N26" s="6" t="str">
        <f>IF(K26-$C$14&gt;0,"higher CO2 per trip.","lower CO2 per trip.")</f>
        <v>higher CO2 per trip.</v>
      </c>
      <c r="Q26" s="18"/>
    </row>
    <row r="27" spans="1:40" x14ac:dyDescent="0.3">
      <c r="A27" s="2"/>
      <c r="B27" s="2"/>
      <c r="C27" s="2"/>
      <c r="E27" s="13" t="s">
        <v>11</v>
      </c>
      <c r="F27" s="7">
        <v>0.3</v>
      </c>
      <c r="G27" s="5" t="s">
        <v>17</v>
      </c>
      <c r="H27" s="8">
        <f>(C13*(1-F27))</f>
        <v>1400</v>
      </c>
      <c r="I27" s="2" t="s">
        <v>25</v>
      </c>
      <c r="J27" s="3" t="s">
        <v>16</v>
      </c>
      <c r="K27" s="69">
        <f>F30/H27</f>
        <v>761.90476190476193</v>
      </c>
      <c r="L27" s="2" t="s">
        <v>30</v>
      </c>
      <c r="M27" s="17">
        <f>ABS((K27/C15)-1)</f>
        <v>0.52380952380952395</v>
      </c>
      <c r="N27" s="2" t="str">
        <f>IF($C$15&gt;K27,"lower airfares on average.","higher airfares on average.")</f>
        <v>higher airfares on average.</v>
      </c>
      <c r="Q27" s="18"/>
    </row>
    <row r="28" spans="1:40" x14ac:dyDescent="0.3">
      <c r="A28" s="2"/>
      <c r="B28" s="2"/>
      <c r="C28" s="2"/>
      <c r="E28" s="13" t="s">
        <v>10</v>
      </c>
      <c r="F28" s="28">
        <v>0.9</v>
      </c>
      <c r="G28" s="31" t="str">
        <f>IF(F28&gt;$C$11,"  This is higher than the baseline year's.","")</f>
        <v/>
      </c>
      <c r="H28" s="2"/>
      <c r="J28" s="20" t="s">
        <v>7</v>
      </c>
      <c r="K28" s="69">
        <f>K25*K27</f>
        <v>1066666.6666666667</v>
      </c>
      <c r="L28" s="2" t="s">
        <v>28</v>
      </c>
      <c r="M28" s="17">
        <f>ABS(((C10-K28)/C10))</f>
        <v>6.6666666666666749E-2</v>
      </c>
      <c r="N28" s="36" t="str">
        <f>IF($C$10&gt;K28,"less spend.","more spend.")</f>
        <v>more spend.</v>
      </c>
      <c r="O28" s="36"/>
      <c r="P28" s="36"/>
      <c r="Q28" s="37"/>
    </row>
    <row r="29" spans="1:40" s="2" customFormat="1" x14ac:dyDescent="0.3">
      <c r="E29" s="47" t="s">
        <v>43</v>
      </c>
      <c r="F29" s="27">
        <f>H26/H27</f>
        <v>685.71428571428567</v>
      </c>
      <c r="G29" s="31"/>
      <c r="J29" s="20" t="s">
        <v>8</v>
      </c>
      <c r="K29" s="27">
        <f>K25*K26</f>
        <v>959999.99999999988</v>
      </c>
      <c r="L29" s="2" t="s">
        <v>29</v>
      </c>
      <c r="M29" s="32">
        <f>ABS(F26)</f>
        <v>0.2</v>
      </c>
      <c r="N29" s="6" t="str">
        <f>IF($C$9&gt;K29,"lower total emissions.","higher total emissions.")</f>
        <v>lower total emissions.</v>
      </c>
      <c r="Q29" s="18"/>
    </row>
    <row r="30" spans="1:40" s="2" customFormat="1" x14ac:dyDescent="0.3">
      <c r="E30" s="47" t="s">
        <v>42</v>
      </c>
      <c r="F30" s="69">
        <f>H26/F28</f>
        <v>1066666.6666666667</v>
      </c>
      <c r="J30" s="54" t="s">
        <v>35</v>
      </c>
      <c r="K30" s="55">
        <f>F31</f>
        <v>137.14285714285714</v>
      </c>
      <c r="L30" s="49" t="s">
        <v>29</v>
      </c>
      <c r="M30" s="17">
        <f>ABS((C18-F31)/C18)</f>
        <v>0.19999999999999996</v>
      </c>
      <c r="N30" s="49" t="str">
        <f>IF(C18&gt;F31,"lower CO2 per employee.","higher CO2 per employee.")</f>
        <v>lower CO2 per employee.</v>
      </c>
      <c r="O30" s="49"/>
      <c r="P30" s="49"/>
      <c r="Q30" s="18"/>
    </row>
    <row r="31" spans="1:40" s="2" customFormat="1" x14ac:dyDescent="0.3">
      <c r="E31" s="48" t="s">
        <v>39</v>
      </c>
      <c r="F31" s="50">
        <f>H26/G7</f>
        <v>137.14285714285714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49"/>
    </row>
    <row r="32" spans="1:40" s="2" customFormat="1" x14ac:dyDescent="0.3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pans="2:13" s="2" customFormat="1" x14ac:dyDescent="0.3"/>
    <row r="146" spans="2:13" x14ac:dyDescent="0.3">
      <c r="B146" s="2"/>
      <c r="C146" s="2"/>
      <c r="E146" s="2"/>
      <c r="F146" s="2"/>
      <c r="G146" s="2"/>
      <c r="H146" s="2"/>
      <c r="K146" s="2"/>
      <c r="M146" s="2"/>
    </row>
    <row r="147" spans="2:13" x14ac:dyDescent="0.3">
      <c r="B147" s="2"/>
      <c r="C147" s="2"/>
      <c r="E147" s="2"/>
      <c r="F147" s="2"/>
      <c r="G147" s="2"/>
      <c r="H147" s="2"/>
      <c r="K147" s="2"/>
      <c r="M147" s="2"/>
    </row>
    <row r="148" spans="2:13" x14ac:dyDescent="0.3">
      <c r="E148" s="2"/>
      <c r="F148" s="2"/>
      <c r="G148" s="2"/>
      <c r="H148" s="2"/>
    </row>
    <row r="149" spans="2:13" x14ac:dyDescent="0.3">
      <c r="E149" s="2"/>
    </row>
  </sheetData>
  <mergeCells count="5">
    <mergeCell ref="B5:C5"/>
    <mergeCell ref="K5:M5"/>
    <mergeCell ref="N12:Q12"/>
    <mergeCell ref="N19:Q19"/>
    <mergeCell ref="N28:Q28"/>
  </mergeCells>
  <hyperlinks>
    <hyperlink ref="B24" r:id="rId1" xr:uid="{C49F5D96-435F-412C-AAA1-AE44E38107F8}"/>
    <hyperlink ref="B25" r:id="rId2" xr:uid="{3099F980-698D-4F3E-BFF8-F952A7CAB13C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Carbon Budgeting Model in USD</vt:lpstr>
      <vt:lpstr>Carbon Budgeting Model in GBP</vt:lpstr>
      <vt:lpstr>Carbon Budgeting Model in 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Gillespie</dc:creator>
  <cp:lastModifiedBy>Scott Gillespie</cp:lastModifiedBy>
  <dcterms:created xsi:type="dcterms:W3CDTF">2022-12-31T14:22:25Z</dcterms:created>
  <dcterms:modified xsi:type="dcterms:W3CDTF">2023-02-24T15:45:14Z</dcterms:modified>
</cp:coreProperties>
</file>